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2FC060B-E5BF-4B97-BFDA-69F44C862C2F}" xr6:coauthVersionLast="47" xr6:coauthVersionMax="47" xr10:uidLastSave="{00000000-0000-0000-0000-000000000000}"/>
  <bookViews>
    <workbookView xWindow="-108" yWindow="-108" windowWidth="23256" windowHeight="12576" xr2:uid="{784E7AB4-D37D-4F95-9BA9-7DCB796964D3}"/>
  </bookViews>
  <sheets>
    <sheet name="Asentamientos sección rectang." sheetId="1" r:id="rId1"/>
    <sheet name="PILAS CIRC. EN E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2" l="1"/>
  <c r="H66" i="2" s="1"/>
  <c r="H67" i="2" s="1"/>
  <c r="H68" i="2" s="1"/>
  <c r="H69" i="2" s="1"/>
  <c r="H70" i="2" s="1"/>
  <c r="H71" i="2" s="1"/>
  <c r="H72" i="2" s="1"/>
  <c r="H73" i="2" s="1"/>
  <c r="H64" i="2"/>
  <c r="H55" i="2"/>
  <c r="H56" i="2"/>
  <c r="H57" i="2" s="1"/>
  <c r="H58" i="2" s="1"/>
  <c r="H59" i="2" s="1"/>
  <c r="H60" i="2" s="1"/>
  <c r="H61" i="2" s="1"/>
  <c r="H62" i="2" s="1"/>
  <c r="H63" i="2" s="1"/>
  <c r="H54" i="2"/>
  <c r="H45" i="2"/>
  <c r="H46" i="2"/>
  <c r="H47" i="2" s="1"/>
  <c r="H48" i="2" s="1"/>
  <c r="H49" i="2" s="1"/>
  <c r="H50" i="2" s="1"/>
  <c r="H51" i="2" s="1"/>
  <c r="H52" i="2" s="1"/>
  <c r="H53" i="2" s="1"/>
  <c r="H44" i="2"/>
  <c r="H35" i="2"/>
  <c r="H36" i="2" s="1"/>
  <c r="H37" i="2" s="1"/>
  <c r="H38" i="2" s="1"/>
  <c r="H39" i="2" s="1"/>
  <c r="H40" i="2" s="1"/>
  <c r="H41" i="2" s="1"/>
  <c r="H42" i="2" s="1"/>
  <c r="H43" i="2" s="1"/>
  <c r="H34" i="2"/>
  <c r="H25" i="2"/>
  <c r="H26" i="2" s="1"/>
  <c r="H27" i="2" s="1"/>
  <c r="H28" i="2" s="1"/>
  <c r="H29" i="2" s="1"/>
  <c r="H30" i="2" s="1"/>
  <c r="H31" i="2" s="1"/>
  <c r="H32" i="2" s="1"/>
  <c r="H33" i="2" s="1"/>
  <c r="H24" i="2"/>
  <c r="H15" i="2"/>
  <c r="H16" i="2"/>
  <c r="H17" i="2"/>
  <c r="H18" i="2"/>
  <c r="H19" i="2"/>
  <c r="H20" i="2"/>
  <c r="H21" i="2"/>
  <c r="H22" i="2"/>
  <c r="H23" i="2"/>
  <c r="H14" i="2"/>
  <c r="G65" i="2"/>
  <c r="G66" i="2"/>
  <c r="G67" i="2"/>
  <c r="G68" i="2"/>
  <c r="G69" i="2"/>
  <c r="G70" i="2"/>
  <c r="G71" i="2"/>
  <c r="G72" i="2"/>
  <c r="G73" i="2"/>
  <c r="G64" i="2"/>
  <c r="G55" i="2"/>
  <c r="G56" i="2"/>
  <c r="G57" i="2"/>
  <c r="G58" i="2"/>
  <c r="G59" i="2"/>
  <c r="G60" i="2"/>
  <c r="G61" i="2"/>
  <c r="G62" i="2"/>
  <c r="G63" i="2"/>
  <c r="G54" i="2"/>
  <c r="G45" i="2"/>
  <c r="G46" i="2"/>
  <c r="G47" i="2"/>
  <c r="G48" i="2"/>
  <c r="G49" i="2"/>
  <c r="G50" i="2"/>
  <c r="G51" i="2"/>
  <c r="G52" i="2"/>
  <c r="G53" i="2"/>
  <c r="G44" i="2"/>
  <c r="G35" i="2"/>
  <c r="G36" i="2"/>
  <c r="G37" i="2"/>
  <c r="G38" i="2"/>
  <c r="G39" i="2"/>
  <c r="G40" i="2"/>
  <c r="G41" i="2"/>
  <c r="G42" i="2"/>
  <c r="G43" i="2"/>
  <c r="G34" i="2"/>
  <c r="G25" i="2"/>
  <c r="G26" i="2"/>
  <c r="G27" i="2"/>
  <c r="G28" i="2"/>
  <c r="G29" i="2"/>
  <c r="G30" i="2"/>
  <c r="G31" i="2"/>
  <c r="G32" i="2"/>
  <c r="G33" i="2"/>
  <c r="G24" i="2"/>
  <c r="G15" i="2"/>
  <c r="G16" i="2"/>
  <c r="G17" i="2"/>
  <c r="G18" i="2"/>
  <c r="G19" i="2"/>
  <c r="G20" i="2"/>
  <c r="G21" i="2"/>
  <c r="G22" i="2"/>
  <c r="G23" i="2"/>
  <c r="G14" i="2"/>
  <c r="P64" i="1"/>
  <c r="M14" i="1" s="1"/>
  <c r="N68" i="1"/>
  <c r="H46" i="1"/>
  <c r="I46" i="1" s="1"/>
  <c r="J46" i="1" s="1"/>
  <c r="H68" i="1"/>
  <c r="H63" i="1"/>
  <c r="I63" i="1" s="1"/>
  <c r="J63" i="1" s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H55" i="1"/>
  <c r="I55" i="1" s="1"/>
  <c r="J55" i="1" s="1"/>
  <c r="H54" i="1"/>
  <c r="I54" i="1" s="1"/>
  <c r="J54" i="1" s="1"/>
  <c r="H53" i="1"/>
  <c r="I53" i="1" s="1"/>
  <c r="J53" i="1" s="1"/>
  <c r="H52" i="1"/>
  <c r="I52" i="1" s="1"/>
  <c r="J52" i="1" s="1"/>
  <c r="H51" i="1"/>
  <c r="I51" i="1" s="1"/>
  <c r="J51" i="1" s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N45" i="1"/>
  <c r="H45" i="1"/>
  <c r="U14" i="1"/>
  <c r="U13" i="1"/>
  <c r="B55" i="1" s="1"/>
  <c r="C55" i="1" s="1"/>
  <c r="Y13" i="1"/>
  <c r="U12" i="1"/>
  <c r="U11" i="1"/>
  <c r="Y11" i="1" s="1"/>
  <c r="U10" i="1"/>
  <c r="Y10" i="1" s="1"/>
  <c r="U9" i="1"/>
  <c r="W9" i="1" s="1"/>
  <c r="U8" i="1"/>
  <c r="U7" i="1"/>
  <c r="AA7" i="1"/>
  <c r="U6" i="1"/>
  <c r="U5" i="1"/>
  <c r="B47" i="1" s="1"/>
  <c r="C47" i="1" s="1"/>
  <c r="W5" i="1"/>
  <c r="W10" i="1"/>
  <c r="M18" i="1" l="1"/>
  <c r="P17" i="1" s="1"/>
  <c r="P18" i="1" s="1"/>
  <c r="P14" i="1"/>
  <c r="AC7" i="1"/>
  <c r="Y7" i="1"/>
  <c r="B49" i="1"/>
  <c r="C49" i="1" s="1"/>
  <c r="W7" i="1"/>
  <c r="AA14" i="1"/>
  <c r="B56" i="1"/>
  <c r="C56" i="1" s="1"/>
  <c r="AA12" i="1"/>
  <c r="B54" i="1"/>
  <c r="C54" i="1" s="1"/>
  <c r="W12" i="1"/>
  <c r="W8" i="1"/>
  <c r="B50" i="1"/>
  <c r="C50" i="1" s="1"/>
  <c r="AA6" i="1"/>
  <c r="B48" i="1"/>
  <c r="C48" i="1" s="1"/>
  <c r="AA9" i="1"/>
  <c r="B51" i="1"/>
  <c r="C51" i="1" s="1"/>
  <c r="B53" i="1"/>
  <c r="C53" i="1" s="1"/>
  <c r="B52" i="1"/>
  <c r="C52" i="1" s="1"/>
  <c r="Y14" i="1"/>
  <c r="W14" i="1"/>
  <c r="AA13" i="1"/>
  <c r="W13" i="1"/>
  <c r="AA11" i="1"/>
  <c r="W11" i="1"/>
  <c r="Y12" i="1"/>
  <c r="AA10" i="1"/>
  <c r="AC10" i="1" s="1"/>
  <c r="Y9" i="1"/>
  <c r="Y8" i="1"/>
  <c r="AA8" i="1"/>
  <c r="W6" i="1"/>
  <c r="Y6" i="1"/>
  <c r="Y5" i="1"/>
  <c r="AA5" i="1"/>
  <c r="AC5" i="1" s="1"/>
  <c r="C20" i="1"/>
  <c r="AC12" i="1" l="1"/>
  <c r="D54" i="1" s="1"/>
  <c r="AC13" i="1"/>
  <c r="D55" i="1" s="1"/>
  <c r="AC14" i="1"/>
  <c r="AC9" i="1"/>
  <c r="N51" i="1"/>
  <c r="O51" i="1" s="1"/>
  <c r="P51" i="1" s="1"/>
  <c r="N59" i="1"/>
  <c r="O59" i="1" s="1"/>
  <c r="P59" i="1" s="1"/>
  <c r="U29" i="1"/>
  <c r="N52" i="1"/>
  <c r="O52" i="1" s="1"/>
  <c r="P52" i="1" s="1"/>
  <c r="N60" i="1"/>
  <c r="O60" i="1" s="1"/>
  <c r="P60" i="1" s="1"/>
  <c r="U28" i="1"/>
  <c r="N53" i="1"/>
  <c r="O53" i="1" s="1"/>
  <c r="P53" i="1" s="1"/>
  <c r="N61" i="1"/>
  <c r="O61" i="1" s="1"/>
  <c r="P61" i="1" s="1"/>
  <c r="U27" i="1"/>
  <c r="U21" i="1"/>
  <c r="N54" i="1"/>
  <c r="O54" i="1" s="1"/>
  <c r="P54" i="1" s="1"/>
  <c r="N62" i="1"/>
  <c r="O62" i="1" s="1"/>
  <c r="P62" i="1" s="1"/>
  <c r="N58" i="1"/>
  <c r="O58" i="1" s="1"/>
  <c r="P58" i="1" s="1"/>
  <c r="U24" i="1"/>
  <c r="U23" i="1"/>
  <c r="N46" i="1"/>
  <c r="O46" i="1" s="1"/>
  <c r="P46" i="1" s="1"/>
  <c r="N56" i="1"/>
  <c r="O56" i="1" s="1"/>
  <c r="P56" i="1" s="1"/>
  <c r="N63" i="1"/>
  <c r="O63" i="1" s="1"/>
  <c r="P63" i="1" s="1"/>
  <c r="M13" i="1" s="1"/>
  <c r="U22" i="1"/>
  <c r="U30" i="1"/>
  <c r="U26" i="1"/>
  <c r="N48" i="1"/>
  <c r="O48" i="1" s="1"/>
  <c r="P48" i="1" s="1"/>
  <c r="N47" i="1"/>
  <c r="O47" i="1" s="1"/>
  <c r="P47" i="1" s="1"/>
  <c r="N57" i="1"/>
  <c r="O57" i="1" s="1"/>
  <c r="P57" i="1" s="1"/>
  <c r="U25" i="1"/>
  <c r="N49" i="1"/>
  <c r="O49" i="1" s="1"/>
  <c r="P49" i="1" s="1"/>
  <c r="N50" i="1"/>
  <c r="O50" i="1" s="1"/>
  <c r="P50" i="1" s="1"/>
  <c r="N55" i="1"/>
  <c r="O55" i="1" s="1"/>
  <c r="P55" i="1" s="1"/>
  <c r="C30" i="1"/>
  <c r="U46" i="1" s="1"/>
  <c r="AG9" i="1"/>
  <c r="D51" i="1"/>
  <c r="AG5" i="1"/>
  <c r="D47" i="1"/>
  <c r="AC6" i="1"/>
  <c r="D48" i="1" s="1"/>
  <c r="AG10" i="1"/>
  <c r="D52" i="1"/>
  <c r="AG7" i="1"/>
  <c r="D49" i="1"/>
  <c r="AC11" i="1"/>
  <c r="D53" i="1" s="1"/>
  <c r="AE10" i="1"/>
  <c r="AC8" i="1"/>
  <c r="AE9" i="1"/>
  <c r="AE7" i="1"/>
  <c r="AE5" i="1"/>
  <c r="AE12" i="1" l="1"/>
  <c r="AG12" i="1"/>
  <c r="D56" i="1"/>
  <c r="AG14" i="1"/>
  <c r="AG13" i="1"/>
  <c r="AE14" i="1"/>
  <c r="AE13" i="1"/>
  <c r="U41" i="1"/>
  <c r="U42" i="1"/>
  <c r="AA42" i="1" s="1"/>
  <c r="U45" i="1"/>
  <c r="B72" i="1" s="1"/>
  <c r="C72" i="1" s="1"/>
  <c r="B73" i="1"/>
  <c r="C73" i="1" s="1"/>
  <c r="AA46" i="1"/>
  <c r="W46" i="1"/>
  <c r="Y46" i="1"/>
  <c r="B58" i="1"/>
  <c r="C58" i="1" s="1"/>
  <c r="W22" i="1"/>
  <c r="Y22" i="1"/>
  <c r="AA22" i="1"/>
  <c r="B63" i="1"/>
  <c r="C63" i="1" s="1"/>
  <c r="AA27" i="1"/>
  <c r="Y27" i="1"/>
  <c r="W27" i="1"/>
  <c r="W45" i="1"/>
  <c r="Y45" i="1"/>
  <c r="AA45" i="1"/>
  <c r="AA24" i="1"/>
  <c r="B60" i="1"/>
  <c r="C60" i="1" s="1"/>
  <c r="W24" i="1"/>
  <c r="Y24" i="1"/>
  <c r="B65" i="1"/>
  <c r="C65" i="1" s="1"/>
  <c r="AA29" i="1"/>
  <c r="Y29" i="1"/>
  <c r="W29" i="1"/>
  <c r="AG6" i="1"/>
  <c r="AG15" i="1" s="1"/>
  <c r="U48" i="1"/>
  <c r="U44" i="1"/>
  <c r="U47" i="1"/>
  <c r="Y25" i="1"/>
  <c r="B61" i="1"/>
  <c r="C61" i="1" s="1"/>
  <c r="W25" i="1"/>
  <c r="AA25" i="1"/>
  <c r="U40" i="1"/>
  <c r="Y28" i="1"/>
  <c r="B64" i="1"/>
  <c r="C64" i="1" s="1"/>
  <c r="AA28" i="1"/>
  <c r="W28" i="1"/>
  <c r="AE6" i="1"/>
  <c r="AE15" i="1" s="1"/>
  <c r="AE8" i="1"/>
  <c r="D50" i="1"/>
  <c r="U43" i="1"/>
  <c r="AA26" i="1"/>
  <c r="B62" i="1"/>
  <c r="C62" i="1" s="1"/>
  <c r="Y26" i="1"/>
  <c r="W26" i="1"/>
  <c r="B59" i="1"/>
  <c r="C59" i="1" s="1"/>
  <c r="AA23" i="1"/>
  <c r="W23" i="1"/>
  <c r="Y23" i="1"/>
  <c r="H76" i="1"/>
  <c r="I76" i="1" s="1"/>
  <c r="J76" i="1" s="1"/>
  <c r="H84" i="1"/>
  <c r="I84" i="1" s="1"/>
  <c r="J84" i="1" s="1"/>
  <c r="H77" i="1"/>
  <c r="I77" i="1" s="1"/>
  <c r="J77" i="1" s="1"/>
  <c r="H85" i="1"/>
  <c r="I85" i="1" s="1"/>
  <c r="J85" i="1" s="1"/>
  <c r="H70" i="1"/>
  <c r="I70" i="1" s="1"/>
  <c r="J70" i="1" s="1"/>
  <c r="H78" i="1"/>
  <c r="I78" i="1" s="1"/>
  <c r="J78" i="1" s="1"/>
  <c r="H86" i="1"/>
  <c r="I86" i="1" s="1"/>
  <c r="J86" i="1" s="1"/>
  <c r="P13" i="1" s="1"/>
  <c r="H71" i="1"/>
  <c r="I71" i="1" s="1"/>
  <c r="J71" i="1" s="1"/>
  <c r="H79" i="1"/>
  <c r="I79" i="1" s="1"/>
  <c r="J79" i="1" s="1"/>
  <c r="H69" i="1"/>
  <c r="I69" i="1" s="1"/>
  <c r="J69" i="1" s="1"/>
  <c r="H83" i="1"/>
  <c r="I83" i="1" s="1"/>
  <c r="J83" i="1" s="1"/>
  <c r="H82" i="1"/>
  <c r="I82" i="1" s="1"/>
  <c r="J82" i="1" s="1"/>
  <c r="H72" i="1"/>
  <c r="I72" i="1" s="1"/>
  <c r="J72" i="1" s="1"/>
  <c r="H81" i="1"/>
  <c r="I81" i="1" s="1"/>
  <c r="J81" i="1" s="1"/>
  <c r="H73" i="1"/>
  <c r="I73" i="1" s="1"/>
  <c r="J73" i="1" s="1"/>
  <c r="H74" i="1"/>
  <c r="I74" i="1" s="1"/>
  <c r="J74" i="1" s="1"/>
  <c r="H75" i="1"/>
  <c r="I75" i="1" s="1"/>
  <c r="J75" i="1" s="1"/>
  <c r="H80" i="1"/>
  <c r="I80" i="1" s="1"/>
  <c r="J80" i="1" s="1"/>
  <c r="U59" i="1"/>
  <c r="B66" i="1"/>
  <c r="C66" i="1" s="1"/>
  <c r="Y30" i="1"/>
  <c r="W30" i="1"/>
  <c r="AA30" i="1"/>
  <c r="U49" i="1"/>
  <c r="AA21" i="1"/>
  <c r="B57" i="1"/>
  <c r="C57" i="1" s="1"/>
  <c r="Y21" i="1"/>
  <c r="W21" i="1"/>
  <c r="AE11" i="1"/>
  <c r="AG11" i="1"/>
  <c r="AG8" i="1"/>
  <c r="K58" i="1" l="1"/>
  <c r="K55" i="1"/>
  <c r="K47" i="1"/>
  <c r="Q17" i="1"/>
  <c r="Q18" i="1" s="1"/>
  <c r="K63" i="1"/>
  <c r="K54" i="1"/>
  <c r="K46" i="1"/>
  <c r="K48" i="1"/>
  <c r="K62" i="1"/>
  <c r="K53" i="1"/>
  <c r="K45" i="1"/>
  <c r="Q68" i="1"/>
  <c r="K61" i="1"/>
  <c r="K52" i="1"/>
  <c r="K51" i="1"/>
  <c r="K56" i="1"/>
  <c r="K60" i="1"/>
  <c r="K59" i="1"/>
  <c r="K50" i="1"/>
  <c r="K68" i="1"/>
  <c r="K57" i="1"/>
  <c r="K49" i="1"/>
  <c r="Y42" i="1"/>
  <c r="W42" i="1"/>
  <c r="B69" i="1"/>
  <c r="C69" i="1" s="1"/>
  <c r="AC29" i="1"/>
  <c r="AG29" i="1" s="1"/>
  <c r="AC45" i="1"/>
  <c r="Y41" i="1"/>
  <c r="AC41" i="1"/>
  <c r="B68" i="1"/>
  <c r="C68" i="1" s="1"/>
  <c r="AC23" i="1"/>
  <c r="D59" i="1" s="1"/>
  <c r="AC46" i="1"/>
  <c r="AG46" i="1" s="1"/>
  <c r="AC22" i="1"/>
  <c r="D58" i="1" s="1"/>
  <c r="AC30" i="1"/>
  <c r="AE30" i="1" s="1"/>
  <c r="AA41" i="1"/>
  <c r="AC21" i="1"/>
  <c r="AG21" i="1" s="1"/>
  <c r="U60" i="1"/>
  <c r="B80" i="1" s="1"/>
  <c r="C80" i="1" s="1"/>
  <c r="AC24" i="1"/>
  <c r="D60" i="1" s="1"/>
  <c r="W41" i="1"/>
  <c r="D65" i="1"/>
  <c r="AE29" i="1"/>
  <c r="AC27" i="1"/>
  <c r="W40" i="1"/>
  <c r="B67" i="1"/>
  <c r="C67" i="1" s="1"/>
  <c r="Y40" i="1"/>
  <c r="AA40" i="1"/>
  <c r="AC42" i="1"/>
  <c r="N69" i="1"/>
  <c r="O69" i="1" s="1"/>
  <c r="P69" i="1" s="1"/>
  <c r="N70" i="1"/>
  <c r="O70" i="1" s="1"/>
  <c r="P70" i="1" s="1"/>
  <c r="N71" i="1"/>
  <c r="O71" i="1" s="1"/>
  <c r="P71" i="1" s="1"/>
  <c r="N72" i="1"/>
  <c r="O72" i="1" s="1"/>
  <c r="P72" i="1" s="1"/>
  <c r="N80" i="1"/>
  <c r="O80" i="1" s="1"/>
  <c r="P80" i="1" s="1"/>
  <c r="N81" i="1"/>
  <c r="O81" i="1" s="1"/>
  <c r="P81" i="1" s="1"/>
  <c r="N82" i="1"/>
  <c r="O82" i="1" s="1"/>
  <c r="P82" i="1" s="1"/>
  <c r="N83" i="1"/>
  <c r="O83" i="1" s="1"/>
  <c r="P83" i="1" s="1"/>
  <c r="N73" i="1"/>
  <c r="O73" i="1" s="1"/>
  <c r="P73" i="1" s="1"/>
  <c r="N74" i="1"/>
  <c r="O74" i="1" s="1"/>
  <c r="P74" i="1" s="1"/>
  <c r="N75" i="1"/>
  <c r="O75" i="1" s="1"/>
  <c r="P75" i="1" s="1"/>
  <c r="N76" i="1"/>
  <c r="O76" i="1" s="1"/>
  <c r="P76" i="1" s="1"/>
  <c r="N77" i="1"/>
  <c r="O77" i="1" s="1"/>
  <c r="P77" i="1" s="1"/>
  <c r="N78" i="1"/>
  <c r="O78" i="1" s="1"/>
  <c r="P78" i="1" s="1"/>
  <c r="N79" i="1"/>
  <c r="O79" i="1" s="1"/>
  <c r="P79" i="1" s="1"/>
  <c r="N84" i="1"/>
  <c r="O84" i="1" s="1"/>
  <c r="P84" i="1" s="1"/>
  <c r="N85" i="1"/>
  <c r="O85" i="1" s="1"/>
  <c r="P85" i="1" s="1"/>
  <c r="N86" i="1"/>
  <c r="O86" i="1" s="1"/>
  <c r="P86" i="1" s="1"/>
  <c r="M17" i="1" s="1"/>
  <c r="U62" i="1"/>
  <c r="U66" i="1"/>
  <c r="U64" i="1"/>
  <c r="AE45" i="1"/>
  <c r="D72" i="1"/>
  <c r="AG45" i="1"/>
  <c r="AA49" i="1"/>
  <c r="B76" i="1"/>
  <c r="C76" i="1" s="1"/>
  <c r="W49" i="1"/>
  <c r="Y49" i="1"/>
  <c r="AC28" i="1"/>
  <c r="B74" i="1"/>
  <c r="C74" i="1" s="1"/>
  <c r="Y47" i="1"/>
  <c r="AA47" i="1"/>
  <c r="W47" i="1"/>
  <c r="U57" i="1"/>
  <c r="AC26" i="1"/>
  <c r="B71" i="1"/>
  <c r="C71" i="1" s="1"/>
  <c r="AA44" i="1"/>
  <c r="Y44" i="1"/>
  <c r="W44" i="1"/>
  <c r="AA43" i="1"/>
  <c r="B70" i="1"/>
  <c r="C70" i="1" s="1"/>
  <c r="W43" i="1"/>
  <c r="Y43" i="1"/>
  <c r="U58" i="1"/>
  <c r="Y59" i="1"/>
  <c r="B79" i="1"/>
  <c r="C79" i="1" s="1"/>
  <c r="W59" i="1"/>
  <c r="AA59" i="1"/>
  <c r="AA60" i="1"/>
  <c r="Y60" i="1"/>
  <c r="U61" i="1"/>
  <c r="U63" i="1"/>
  <c r="U65" i="1"/>
  <c r="AC25" i="1"/>
  <c r="W48" i="1"/>
  <c r="B75" i="1"/>
  <c r="C75" i="1" s="1"/>
  <c r="Y48" i="1"/>
  <c r="AA48" i="1"/>
  <c r="D66" i="1" l="1"/>
  <c r="AE23" i="1"/>
  <c r="AG22" i="1"/>
  <c r="AG23" i="1"/>
  <c r="AG31" i="1" s="1"/>
  <c r="AE22" i="1"/>
  <c r="AC59" i="1"/>
  <c r="AG59" i="1" s="1"/>
  <c r="W60" i="1"/>
  <c r="AC60" i="1" s="1"/>
  <c r="AE60" i="1" s="1"/>
  <c r="D73" i="1"/>
  <c r="AE46" i="1"/>
  <c r="AE24" i="1"/>
  <c r="D57" i="1"/>
  <c r="D68" i="1"/>
  <c r="AE21" i="1"/>
  <c r="AG24" i="1"/>
  <c r="AC47" i="1"/>
  <c r="D74" i="1" s="1"/>
  <c r="AC43" i="1"/>
  <c r="D70" i="1" s="1"/>
  <c r="AG30" i="1"/>
  <c r="W58" i="1"/>
  <c r="B78" i="1"/>
  <c r="C78" i="1" s="1"/>
  <c r="Y58" i="1"/>
  <c r="AA58" i="1"/>
  <c r="D62" i="1"/>
  <c r="AE26" i="1"/>
  <c r="AG26" i="1"/>
  <c r="AE25" i="1"/>
  <c r="D61" i="1"/>
  <c r="AG25" i="1"/>
  <c r="B85" i="1"/>
  <c r="C85" i="1" s="1"/>
  <c r="AA65" i="1"/>
  <c r="Y65" i="1"/>
  <c r="W65" i="1"/>
  <c r="D64" i="1"/>
  <c r="AG28" i="1"/>
  <c r="AE28" i="1"/>
  <c r="B84" i="1"/>
  <c r="C84" i="1" s="1"/>
  <c r="W64" i="1"/>
  <c r="AA64" i="1"/>
  <c r="Y64" i="1"/>
  <c r="B83" i="1"/>
  <c r="C83" i="1" s="1"/>
  <c r="Y63" i="1"/>
  <c r="W63" i="1"/>
  <c r="AA63" i="1"/>
  <c r="AC63" i="1" s="1"/>
  <c r="Y66" i="1"/>
  <c r="B86" i="1"/>
  <c r="C86" i="1" s="1"/>
  <c r="AA66" i="1"/>
  <c r="W66" i="1"/>
  <c r="AG41" i="1"/>
  <c r="Y61" i="1"/>
  <c r="B81" i="1"/>
  <c r="C81" i="1" s="1"/>
  <c r="AA61" i="1"/>
  <c r="W61" i="1"/>
  <c r="AC44" i="1"/>
  <c r="B77" i="1"/>
  <c r="C77" i="1" s="1"/>
  <c r="W57" i="1"/>
  <c r="Y57" i="1"/>
  <c r="AA57" i="1"/>
  <c r="AC49" i="1"/>
  <c r="AA62" i="1"/>
  <c r="B82" i="1"/>
  <c r="C82" i="1" s="1"/>
  <c r="W62" i="1"/>
  <c r="Y62" i="1"/>
  <c r="AC48" i="1"/>
  <c r="D69" i="1"/>
  <c r="AG42" i="1"/>
  <c r="AE42" i="1"/>
  <c r="D63" i="1"/>
  <c r="AG27" i="1"/>
  <c r="AE27" i="1"/>
  <c r="AC40" i="1"/>
  <c r="Q62" i="1" l="1"/>
  <c r="Q53" i="1"/>
  <c r="Q45" i="1"/>
  <c r="Q61" i="1"/>
  <c r="Q52" i="1"/>
  <c r="Q63" i="1"/>
  <c r="Q60" i="1"/>
  <c r="Q51" i="1"/>
  <c r="Q58" i="1"/>
  <c r="Q46" i="1"/>
  <c r="Q59" i="1"/>
  <c r="Q50" i="1"/>
  <c r="Q57" i="1"/>
  <c r="Q49" i="1"/>
  <c r="Q64" i="1"/>
  <c r="N13" i="1" s="1"/>
  <c r="N14" i="1" s="1"/>
  <c r="Q56" i="1"/>
  <c r="Q48" i="1"/>
  <c r="Q55" i="1"/>
  <c r="Q47" i="1"/>
  <c r="Q54" i="1"/>
  <c r="AE31" i="1"/>
  <c r="AE59" i="1"/>
  <c r="D79" i="1"/>
  <c r="AE41" i="1"/>
  <c r="AE50" i="1" s="1"/>
  <c r="AG43" i="1"/>
  <c r="AG50" i="1" s="1"/>
  <c r="AE43" i="1"/>
  <c r="AG60" i="1"/>
  <c r="D80" i="1"/>
  <c r="AC62" i="1"/>
  <c r="AE62" i="1" s="1"/>
  <c r="AC65" i="1"/>
  <c r="D85" i="1" s="1"/>
  <c r="AE47" i="1"/>
  <c r="AG47" i="1"/>
  <c r="AC66" i="1"/>
  <c r="AE66" i="1" s="1"/>
  <c r="AC58" i="1"/>
  <c r="D78" i="1" s="1"/>
  <c r="D67" i="1"/>
  <c r="AG40" i="1"/>
  <c r="AE40" i="1"/>
  <c r="AC61" i="1"/>
  <c r="AE63" i="1"/>
  <c r="D83" i="1"/>
  <c r="AG63" i="1"/>
  <c r="D71" i="1"/>
  <c r="AG44" i="1"/>
  <c r="AE44" i="1"/>
  <c r="AC57" i="1"/>
  <c r="D76" i="1"/>
  <c r="AG49" i="1"/>
  <c r="AE49" i="1"/>
  <c r="AC64" i="1"/>
  <c r="D75" i="1"/>
  <c r="AG48" i="1"/>
  <c r="AE48" i="1"/>
  <c r="Q13" i="1" l="1"/>
  <c r="Q14" i="1" s="1"/>
  <c r="K79" i="1"/>
  <c r="K80" i="1"/>
  <c r="K73" i="1"/>
  <c r="K71" i="1"/>
  <c r="K84" i="1"/>
  <c r="K70" i="1"/>
  <c r="K86" i="1"/>
  <c r="K82" i="1"/>
  <c r="K69" i="1"/>
  <c r="K78" i="1"/>
  <c r="K74" i="1"/>
  <c r="K76" i="1"/>
  <c r="K85" i="1"/>
  <c r="K72" i="1"/>
  <c r="K83" i="1"/>
  <c r="K75" i="1"/>
  <c r="K77" i="1"/>
  <c r="K81" i="1"/>
  <c r="AG62" i="1"/>
  <c r="D82" i="1"/>
  <c r="AG65" i="1"/>
  <c r="AE65" i="1"/>
  <c r="AE58" i="1"/>
  <c r="AG58" i="1"/>
  <c r="AG66" i="1"/>
  <c r="D86" i="1"/>
  <c r="D77" i="1"/>
  <c r="AG57" i="1"/>
  <c r="AE57" i="1"/>
  <c r="D81" i="1"/>
  <c r="AG61" i="1"/>
  <c r="AE61" i="1"/>
  <c r="AG64" i="1"/>
  <c r="AE64" i="1"/>
  <c r="D84" i="1"/>
  <c r="AE67" i="1" l="1"/>
  <c r="AG67" i="1"/>
  <c r="Q72" i="1" l="1"/>
  <c r="N17" i="1"/>
  <c r="N18" i="1" s="1"/>
  <c r="Q75" i="1"/>
  <c r="Q81" i="1"/>
  <c r="Q74" i="1"/>
  <c r="Q83" i="1"/>
  <c r="Q84" i="1"/>
  <c r="Q80" i="1"/>
  <c r="Q69" i="1"/>
  <c r="Q77" i="1"/>
  <c r="Q85" i="1"/>
  <c r="Q73" i="1"/>
  <c r="Q79" i="1"/>
  <c r="Q78" i="1"/>
  <c r="Q82" i="1"/>
  <c r="Q71" i="1"/>
  <c r="Q76" i="1"/>
  <c r="Q70" i="1"/>
  <c r="Q86" i="1"/>
</calcChain>
</file>

<file path=xl/sharedStrings.xml><?xml version="1.0" encoding="utf-8"?>
<sst xmlns="http://schemas.openxmlformats.org/spreadsheetml/2006/main" count="527" uniqueCount="124">
  <si>
    <t>DATOS CAPA 2</t>
  </si>
  <si>
    <t xml:space="preserve"> DATOS CAPA 1</t>
  </si>
  <si>
    <t>Me</t>
  </si>
  <si>
    <t>cm2/kg</t>
  </si>
  <si>
    <t>mv</t>
  </si>
  <si>
    <t>Cv</t>
  </si>
  <si>
    <t>cm2/hora</t>
  </si>
  <si>
    <t>m</t>
  </si>
  <si>
    <t>Altura desde la superficie</t>
  </si>
  <si>
    <t>Existencia de lentes o capas permeables entre la capa 1</t>
  </si>
  <si>
    <t>Espesor de la capa</t>
  </si>
  <si>
    <t>DATOS CAPA 3</t>
  </si>
  <si>
    <t>DATOS CAPA 4</t>
  </si>
  <si>
    <t>DATOS DE LAS CAPAS O ESTRATOS</t>
  </si>
  <si>
    <t>DIMENSIONES DE LA SECCIÓN TRANSVERSAL RECTANGULAR</t>
  </si>
  <si>
    <t>Ancho (B) =</t>
  </si>
  <si>
    <t>Largo (L) =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</si>
  <si>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</si>
  <si>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</si>
  <si>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</si>
  <si>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</si>
  <si>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</si>
  <si>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</si>
  <si>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</si>
  <si>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</si>
  <si>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</si>
  <si>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</si>
  <si>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</si>
  <si>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</si>
  <si>
    <t>Capa  1 (PUNTO EN EL CENTROIDE DE LA SUPERFICIE RECTANGULAR)</t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</si>
  <si>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</si>
  <si>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</si>
  <si>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ton/m2</t>
  </si>
  <si>
    <t>Δσ1</t>
  </si>
  <si>
    <t>Δσ2</t>
  </si>
  <si>
    <t>Δσ3</t>
  </si>
  <si>
    <t>Δσ4</t>
  </si>
  <si>
    <t>Δσ5</t>
  </si>
  <si>
    <t>Δσ6</t>
  </si>
  <si>
    <t>Δσ7</t>
  </si>
  <si>
    <t>Δσ8</t>
  </si>
  <si>
    <t>Δσ9</t>
  </si>
  <si>
    <t>Δσ10</t>
  </si>
  <si>
    <t>δ cp 1</t>
  </si>
  <si>
    <t>δ cp 2</t>
  </si>
  <si>
    <t>δ cp 3</t>
  </si>
  <si>
    <t>δ cp 4</t>
  </si>
  <si>
    <t>δ cp 5</t>
  </si>
  <si>
    <t>δ cp 6</t>
  </si>
  <si>
    <t>δ cp 7</t>
  </si>
  <si>
    <t>δ cp 8</t>
  </si>
  <si>
    <t>δ cp 9</t>
  </si>
  <si>
    <t>δ cp 10</t>
  </si>
  <si>
    <t>δ lp 1</t>
  </si>
  <si>
    <t>δ lp 2</t>
  </si>
  <si>
    <t>δ lp 3</t>
  </si>
  <si>
    <t>δ lp 4</t>
  </si>
  <si>
    <t>δ lp 5</t>
  </si>
  <si>
    <t>δ lp 6</t>
  </si>
  <si>
    <t>δ lp 7</t>
  </si>
  <si>
    <t>δ lp 8</t>
  </si>
  <si>
    <t>δ lp 9</t>
  </si>
  <si>
    <t>δ lp 10</t>
  </si>
  <si>
    <t>Capa  2 (PUNTO EN EL CENTROIDE DE LA SUPERFICIE RECTANGULAR)</t>
  </si>
  <si>
    <t>Capa  3 (PUNTO EN EL CENTROIDE DE LA SUPERFICIE RECTANGULAR)</t>
  </si>
  <si>
    <t>CARGAS</t>
  </si>
  <si>
    <t>CÁLCULO DE ASENTAMIENTOS</t>
  </si>
  <si>
    <t>CAPA 1</t>
  </si>
  <si>
    <t>t 0%</t>
  </si>
  <si>
    <t>t 10%</t>
  </si>
  <si>
    <t>t 15%</t>
  </si>
  <si>
    <t>t 20%</t>
  </si>
  <si>
    <t>t 25%</t>
  </si>
  <si>
    <t>t 30%</t>
  </si>
  <si>
    <t>t 35%</t>
  </si>
  <si>
    <t>t 40%</t>
  </si>
  <si>
    <t>t 50%</t>
  </si>
  <si>
    <t>t 60%</t>
  </si>
  <si>
    <t>t 45%</t>
  </si>
  <si>
    <t>t 55%</t>
  </si>
  <si>
    <t>t 65%</t>
  </si>
  <si>
    <t>t 70%</t>
  </si>
  <si>
    <t>t 75%</t>
  </si>
  <si>
    <t>t 80%</t>
  </si>
  <si>
    <t>t 85%</t>
  </si>
  <si>
    <t>t 90%</t>
  </si>
  <si>
    <t>t 95%</t>
  </si>
  <si>
    <t>Tiempo en %</t>
  </si>
  <si>
    <t>años</t>
  </si>
  <si>
    <t>CAPA 2</t>
  </si>
  <si>
    <t>T</t>
  </si>
  <si>
    <t>CAPA 3</t>
  </si>
  <si>
    <t>Horas</t>
  </si>
  <si>
    <t>días</t>
  </si>
  <si>
    <t>dias</t>
  </si>
  <si>
    <t>CAPA 4</t>
  </si>
  <si>
    <t>EJE Y</t>
  </si>
  <si>
    <t>EJE X</t>
  </si>
  <si>
    <t>BULBO DE PRESIONES</t>
  </si>
  <si>
    <t>Capa 4  (PUNTO EN EL CENTROIDE DE LA SUPERFICIE RECTANGULAR)</t>
  </si>
  <si>
    <t>Existencia de lentes o capas permeables entre la capa 2</t>
  </si>
  <si>
    <t>Existencia de lentes o capas permeables entre la capa 4</t>
  </si>
  <si>
    <t>Existencia de lentes o capas permeables entre la capa 3</t>
  </si>
  <si>
    <t>Carga aplicada a la superficie</t>
  </si>
  <si>
    <t>Asent. % LP</t>
  </si>
  <si>
    <t>PUNTO CAPA 1</t>
  </si>
  <si>
    <t>DATOS CAPA 5</t>
  </si>
  <si>
    <t>DATOS CAPA 6</t>
  </si>
  <si>
    <t>DIMENSIONES DE LA SECCIÓN TRANSVERSAL CIRCULAR PILA</t>
  </si>
  <si>
    <t>Diámetro de la pila =</t>
  </si>
  <si>
    <t>CARGAS PUNTUAL ACTUANTE</t>
  </si>
  <si>
    <t>TON</t>
  </si>
  <si>
    <t>Carga aplicada en la pila =</t>
  </si>
  <si>
    <t>ton/m3</t>
  </si>
  <si>
    <t>Cohesión =</t>
  </si>
  <si>
    <t>Ángulo de fricción =</t>
  </si>
  <si>
    <t>Peso específico  =</t>
  </si>
  <si>
    <t>°</t>
  </si>
  <si>
    <t>Espesor del estrato</t>
  </si>
  <si>
    <t>Longitud de la pila en el estrato</t>
  </si>
  <si>
    <t>Diagrama de esfuerzos totales (ton/m2)</t>
  </si>
  <si>
    <t>% altura</t>
  </si>
  <si>
    <t>Altura</t>
  </si>
  <si>
    <t>Esfuerzo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</si>
</sst>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" xfId="0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9" fillId="2" borderId="1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11" fillId="2" borderId="0" xfId="0" applyFont="1" applyFill="1" applyAlignment="1">
      <alignment vertical="center" wrapText="1"/>
    </xf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0" fillId="2" borderId="22" xfId="0" applyFill="1" applyBorder="1"/>
    <xf numFmtId="0" fontId="0" fillId="2" borderId="12" xfId="0" applyFill="1" applyBorder="1"/>
    <xf numFmtId="0" fontId="0" fillId="2" borderId="20" xfId="0" applyFill="1" applyBorder="1"/>
    <xf numFmtId="0" fontId="1" fillId="2" borderId="1" xfId="0" applyFont="1" applyFill="1" applyBorder="1" applyAlignment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/>
    </xf>
    <xf numFmtId="0" fontId="12" fillId="2" borderId="1" xfId="0" applyFont="1" applyFill="1" applyBorder="1"/>
    <xf numFmtId="0" fontId="0" fillId="2" borderId="37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BULBO</a:t>
            </a:r>
            <a:r>
              <a:rPr lang="es-MX" b="1" baseline="0"/>
              <a:t> DE PRESIONES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81627145814712E-2"/>
          <c:y val="7.4011005412887909E-2"/>
          <c:w val="0.88686924250525467"/>
          <c:h val="0.8924391281261474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'Asentamientos sección rectang.'!$H$8</c:f>
              <c:numCache>
                <c:formatCode>0.00</c:formatCode>
                <c:ptCount val="1"/>
                <c:pt idx="0">
                  <c:v>8.5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080-4AD5-A305-06DC31D33F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'Asentamientos sección rectang.'!$D$47:$D$86</c:f>
              <c:numCache>
                <c:formatCode>General</c:formatCode>
                <c:ptCount val="40"/>
                <c:pt idx="0">
                  <c:v>8.4763660902842606</c:v>
                </c:pt>
                <c:pt idx="1">
                  <c:v>8.3301345090034467</c:v>
                </c:pt>
                <c:pt idx="2">
                  <c:v>8.0113616912127519</c:v>
                </c:pt>
                <c:pt idx="3">
                  <c:v>7.5455460943479187</c:v>
                </c:pt>
                <c:pt idx="4">
                  <c:v>6.9910315779483225</c:v>
                </c:pt>
                <c:pt idx="5">
                  <c:v>6.4034517803899522</c:v>
                </c:pt>
                <c:pt idx="6">
                  <c:v>5.8224257127250167</c:v>
                </c:pt>
                <c:pt idx="7">
                  <c:v>5.2716786959353374</c:v>
                </c:pt>
                <c:pt idx="8">
                  <c:v>4.7632694222292233</c:v>
                </c:pt>
                <c:pt idx="9">
                  <c:v>4.301749709515998</c:v>
                </c:pt>
                <c:pt idx="10">
                  <c:v>3.8406996716849493</c:v>
                </c:pt>
                <c:pt idx="11">
                  <c:v>3.4350791316450557</c:v>
                </c:pt>
                <c:pt idx="12">
                  <c:v>3.0797389610594355</c:v>
                </c:pt>
                <c:pt idx="13">
                  <c:v>2.7689906530761923</c:v>
                </c:pt>
                <c:pt idx="14">
                  <c:v>2.4972516223639811</c:v>
                </c:pt>
                <c:pt idx="15">
                  <c:v>2.259360478224143</c:v>
                </c:pt>
                <c:pt idx="16">
                  <c:v>2.0507049857185216</c:v>
                </c:pt>
                <c:pt idx="17">
                  <c:v>1.867247663457769</c:v>
                </c:pt>
                <c:pt idx="18">
                  <c:v>1.7054987638532815</c:v>
                </c:pt>
                <c:pt idx="19">
                  <c:v>1.5624651591714454</c:v>
                </c:pt>
                <c:pt idx="20">
                  <c:v>1.4566979480597217</c:v>
                </c:pt>
                <c:pt idx="21">
                  <c:v>1.360688946906575</c:v>
                </c:pt>
                <c:pt idx="22">
                  <c:v>1.2733522663136274</c:v>
                </c:pt>
                <c:pt idx="23">
                  <c:v>1.1937367565439918</c:v>
                </c:pt>
                <c:pt idx="24">
                  <c:v>1.1210087236592163</c:v>
                </c:pt>
                <c:pt idx="25">
                  <c:v>1.0544366602753459</c:v>
                </c:pt>
                <c:pt idx="26">
                  <c:v>0.99337787136009492</c:v>
                </c:pt>
                <c:pt idx="27">
                  <c:v>0.93726682853940546</c:v>
                </c:pt>
                <c:pt idx="28">
                  <c:v>0.88560506950984463</c:v>
                </c:pt>
                <c:pt idx="29">
                  <c:v>0.83795245980975441</c:v>
                </c:pt>
                <c:pt idx="30">
                  <c:v>0.80144288501832883</c:v>
                </c:pt>
                <c:pt idx="31">
                  <c:v>0.767192793669214</c:v>
                </c:pt>
                <c:pt idx="32">
                  <c:v>0.73502570776756293</c:v>
                </c:pt>
                <c:pt idx="33">
                  <c:v>0.70478142229465246</c:v>
                </c:pt>
                <c:pt idx="34">
                  <c:v>0.67631431265866582</c:v>
                </c:pt>
                <c:pt idx="35">
                  <c:v>0.64949183345386319</c:v>
                </c:pt>
                <c:pt idx="36">
                  <c:v>0.62419318591094908</c:v>
                </c:pt>
                <c:pt idx="37">
                  <c:v>0.60030813407146844</c:v>
                </c:pt>
                <c:pt idx="38">
                  <c:v>0.57773595209567075</c:v>
                </c:pt>
                <c:pt idx="39">
                  <c:v>0.55638448722999811</c:v>
                </c:pt>
              </c:numCache>
            </c:numRef>
          </c:xVal>
          <c:yVal>
            <c:numRef>
              <c:f>'Asentamientos sección rectang.'!$C$47:$C$86</c:f>
              <c:numCache>
                <c:formatCode>General</c:formatCode>
                <c:ptCount val="40"/>
                <c:pt idx="0">
                  <c:v>-0.91999999999999993</c:v>
                </c:pt>
                <c:pt idx="1">
                  <c:v>-1.8399999999999999</c:v>
                </c:pt>
                <c:pt idx="2">
                  <c:v>-2.76</c:v>
                </c:pt>
                <c:pt idx="3">
                  <c:v>-3.6799999999999997</c:v>
                </c:pt>
                <c:pt idx="4">
                  <c:v>-4.5999999999999996</c:v>
                </c:pt>
                <c:pt idx="5">
                  <c:v>-5.52</c:v>
                </c:pt>
                <c:pt idx="6">
                  <c:v>-6.4399999999999995</c:v>
                </c:pt>
                <c:pt idx="7">
                  <c:v>-7.3599999999999994</c:v>
                </c:pt>
                <c:pt idx="8">
                  <c:v>-8.2799999999999994</c:v>
                </c:pt>
                <c:pt idx="9">
                  <c:v>-9.1999999999999993</c:v>
                </c:pt>
                <c:pt idx="10">
                  <c:v>-10.229999999999999</c:v>
                </c:pt>
                <c:pt idx="11">
                  <c:v>-11.26</c:v>
                </c:pt>
                <c:pt idx="12">
                  <c:v>-12.29</c:v>
                </c:pt>
                <c:pt idx="13">
                  <c:v>-13.32</c:v>
                </c:pt>
                <c:pt idx="14">
                  <c:v>-14.35</c:v>
                </c:pt>
                <c:pt idx="15">
                  <c:v>-15.379999999999999</c:v>
                </c:pt>
                <c:pt idx="16">
                  <c:v>-16.41</c:v>
                </c:pt>
                <c:pt idx="17">
                  <c:v>-17.439999999999998</c:v>
                </c:pt>
                <c:pt idx="18">
                  <c:v>-18.47</c:v>
                </c:pt>
                <c:pt idx="19">
                  <c:v>-19.5</c:v>
                </c:pt>
                <c:pt idx="20">
                  <c:v>-20.350000000000001</c:v>
                </c:pt>
                <c:pt idx="21">
                  <c:v>-21.2</c:v>
                </c:pt>
                <c:pt idx="22">
                  <c:v>-22.05</c:v>
                </c:pt>
                <c:pt idx="23">
                  <c:v>-22.9</c:v>
                </c:pt>
                <c:pt idx="24">
                  <c:v>-23.75</c:v>
                </c:pt>
                <c:pt idx="25">
                  <c:v>-24.6</c:v>
                </c:pt>
                <c:pt idx="26">
                  <c:v>-25.45</c:v>
                </c:pt>
                <c:pt idx="27">
                  <c:v>-26.3</c:v>
                </c:pt>
                <c:pt idx="28">
                  <c:v>-27.15</c:v>
                </c:pt>
                <c:pt idx="29">
                  <c:v>-28</c:v>
                </c:pt>
                <c:pt idx="30">
                  <c:v>-28.7</c:v>
                </c:pt>
                <c:pt idx="31">
                  <c:v>-29.4</c:v>
                </c:pt>
                <c:pt idx="32">
                  <c:v>-30.1</c:v>
                </c:pt>
                <c:pt idx="33">
                  <c:v>-30.8</c:v>
                </c:pt>
                <c:pt idx="34">
                  <c:v>-31.5</c:v>
                </c:pt>
                <c:pt idx="35">
                  <c:v>-32.200000000000003</c:v>
                </c:pt>
                <c:pt idx="36">
                  <c:v>-32.9</c:v>
                </c:pt>
                <c:pt idx="37">
                  <c:v>-33.6</c:v>
                </c:pt>
                <c:pt idx="38">
                  <c:v>-34.299999999999997</c:v>
                </c:pt>
                <c:pt idx="39">
                  <c:v>-35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80-4AD5-A305-06DC31D3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49688"/>
        <c:axId val="619378960"/>
      </c:scatterChart>
      <c:valAx>
        <c:axId val="618949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9378960"/>
        <c:crosses val="autoZero"/>
        <c:crossBetween val="midCat"/>
        <c:majorUnit val="1"/>
      </c:valAx>
      <c:valAx>
        <c:axId val="61937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8949688"/>
        <c:crosses val="autoZero"/>
        <c:crossBetween val="midCat"/>
        <c:majorUnit val="2"/>
        <c:minorUnit val="4.0000000000000008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Deformaciones a largo plazo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capa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'Asentamientos sección rectang.'!$J$45:$J$63</c:f>
              <c:numCache>
                <c:formatCode>General</c:formatCode>
                <c:ptCount val="19"/>
                <c:pt idx="0">
                  <c:v>0</c:v>
                </c:pt>
                <c:pt idx="1">
                  <c:v>1.2925886898489634</c:v>
                </c:pt>
                <c:pt idx="2">
                  <c:v>2.9083245521601677</c:v>
                </c:pt>
                <c:pt idx="3">
                  <c:v>5.008781173164734</c:v>
                </c:pt>
                <c:pt idx="4">
                  <c:v>7.9171057253249026</c:v>
                </c:pt>
                <c:pt idx="5">
                  <c:v>11.47172462240955</c:v>
                </c:pt>
                <c:pt idx="6">
                  <c:v>15.511064278187561</c:v>
                </c:pt>
                <c:pt idx="7">
                  <c:v>20.358271865121171</c:v>
                </c:pt>
                <c:pt idx="8">
                  <c:v>25.690200210748156</c:v>
                </c:pt>
                <c:pt idx="9">
                  <c:v>31.829996487530732</c:v>
                </c:pt>
                <c:pt idx="10">
                  <c:v>38.454513523006661</c:v>
                </c:pt>
                <c:pt idx="11">
                  <c:v>46.371619248331562</c:v>
                </c:pt>
                <c:pt idx="12">
                  <c:v>55.258166491043191</c:v>
                </c:pt>
                <c:pt idx="13">
                  <c:v>64.952581664910412</c:v>
                </c:pt>
                <c:pt idx="14">
                  <c:v>77.070600632244449</c:v>
                </c:pt>
                <c:pt idx="15">
                  <c:v>91.289076220583027</c:v>
                </c:pt>
                <c:pt idx="16">
                  <c:v>110.51633298208638</c:v>
                </c:pt>
                <c:pt idx="17">
                  <c:v>137.01440112399013</c:v>
                </c:pt>
                <c:pt idx="18">
                  <c:v>182.09343168247273</c:v>
                </c:pt>
              </c:numCache>
            </c:numRef>
          </c:xVal>
          <c:yVal>
            <c:numRef>
              <c:f>'Asentamientos sección rectang.'!$K$45:$K$63</c:f>
              <c:numCache>
                <c:formatCode>General</c:formatCode>
                <c:ptCount val="19"/>
                <c:pt idx="0">
                  <c:v>0</c:v>
                </c:pt>
                <c:pt idx="1">
                  <c:v>0.18799532758880502</c:v>
                </c:pt>
                <c:pt idx="2">
                  <c:v>0.28199299138320749</c:v>
                </c:pt>
                <c:pt idx="3">
                  <c:v>0.37599065517761004</c:v>
                </c:pt>
                <c:pt idx="4">
                  <c:v>0.46998831897201254</c:v>
                </c:pt>
                <c:pt idx="5">
                  <c:v>0.56398598276641498</c:v>
                </c:pt>
                <c:pt idx="6">
                  <c:v>0.65798364656081754</c:v>
                </c:pt>
                <c:pt idx="7">
                  <c:v>0.75198131035522009</c:v>
                </c:pt>
                <c:pt idx="8">
                  <c:v>0.84597897414962264</c:v>
                </c:pt>
                <c:pt idx="9">
                  <c:v>0.93997663794402508</c:v>
                </c:pt>
                <c:pt idx="10">
                  <c:v>1.0339743017384277</c:v>
                </c:pt>
                <c:pt idx="11">
                  <c:v>1.12797196553283</c:v>
                </c:pt>
                <c:pt idx="12">
                  <c:v>1.2219696293272326</c:v>
                </c:pt>
                <c:pt idx="13">
                  <c:v>1.3159672931216351</c:v>
                </c:pt>
                <c:pt idx="14">
                  <c:v>1.4099649569160375</c:v>
                </c:pt>
                <c:pt idx="15">
                  <c:v>1.5039626207104402</c:v>
                </c:pt>
                <c:pt idx="16">
                  <c:v>1.5979602845048426</c:v>
                </c:pt>
                <c:pt idx="17">
                  <c:v>1.6919579482992453</c:v>
                </c:pt>
                <c:pt idx="18">
                  <c:v>1.7859556120936475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24-42C9-B637-0EE9D0A02CC3}"/>
            </c:ext>
          </c:extLst>
        </c:ser>
        <c:ser>
          <c:idx val="1"/>
          <c:order val="1"/>
          <c:tx>
            <c:v>capa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'Asentamientos sección rectang.'!$P$45:$P$63</c:f>
              <c:numCache>
                <c:formatCode>General</c:formatCode>
                <c:ptCount val="19"/>
                <c:pt idx="0">
                  <c:v>0</c:v>
                </c:pt>
                <c:pt idx="1">
                  <c:v>0.31456443100278719</c:v>
                </c:pt>
                <c:pt idx="2">
                  <c:v>0.70776996975627104</c:v>
                </c:pt>
                <c:pt idx="3">
                  <c:v>1.2189371701358003</c:v>
                </c:pt>
                <c:pt idx="4">
                  <c:v>1.9267071398920712</c:v>
                </c:pt>
                <c:pt idx="5">
                  <c:v>2.7917593251497359</c:v>
                </c:pt>
                <c:pt idx="6">
                  <c:v>3.7747731720334459</c:v>
                </c:pt>
                <c:pt idx="7">
                  <c:v>4.9543897882938976</c:v>
                </c:pt>
                <c:pt idx="8">
                  <c:v>6.2519680661803951</c:v>
                </c:pt>
                <c:pt idx="9">
                  <c:v>7.7461491134436331</c:v>
                </c:pt>
                <c:pt idx="10">
                  <c:v>9.3582918223329159</c:v>
                </c:pt>
                <c:pt idx="11">
                  <c:v>11.284998962224989</c:v>
                </c:pt>
                <c:pt idx="12">
                  <c:v>13.447629425369154</c:v>
                </c:pt>
                <c:pt idx="13">
                  <c:v>15.806862657890056</c:v>
                </c:pt>
                <c:pt idx="14">
                  <c:v>18.755904198541185</c:v>
                </c:pt>
                <c:pt idx="15">
                  <c:v>22.216112939571847</c:v>
                </c:pt>
                <c:pt idx="16">
                  <c:v>26.895258850738308</c:v>
                </c:pt>
                <c:pt idx="17">
                  <c:v>33.343829686295443</c:v>
                </c:pt>
                <c:pt idx="18">
                  <c:v>44.314264217517639</c:v>
                </c:pt>
              </c:numCache>
            </c:numRef>
          </c:xVal>
          <c:yVal>
            <c:numRef>
              <c:f>'Asentamientos sección rectang.'!$Q$45:$Q$63</c:f>
              <c:numCache>
                <c:formatCode>General</c:formatCode>
                <c:ptCount val="19"/>
                <c:pt idx="0">
                  <c:v>0</c:v>
                </c:pt>
                <c:pt idx="1">
                  <c:v>0.25819048202962419</c:v>
                </c:pt>
                <c:pt idx="2">
                  <c:v>0.38728572304443626</c:v>
                </c:pt>
                <c:pt idx="3">
                  <c:v>0.51638096405924838</c:v>
                </c:pt>
                <c:pt idx="4">
                  <c:v>0.64547620507406045</c:v>
                </c:pt>
                <c:pt idx="5">
                  <c:v>0.77457144608887252</c:v>
                </c:pt>
                <c:pt idx="6">
                  <c:v>0.90366668710368458</c:v>
                </c:pt>
                <c:pt idx="7">
                  <c:v>1.0327619281184968</c:v>
                </c:pt>
                <c:pt idx="8">
                  <c:v>1.1618571691333088</c:v>
                </c:pt>
                <c:pt idx="9">
                  <c:v>1.2909524101481209</c:v>
                </c:pt>
                <c:pt idx="10">
                  <c:v>1.4200476511629332</c:v>
                </c:pt>
                <c:pt idx="11">
                  <c:v>1.549142892177745</c:v>
                </c:pt>
                <c:pt idx="12">
                  <c:v>1.6782381331925573</c:v>
                </c:pt>
                <c:pt idx="13">
                  <c:v>1.8073333742073692</c:v>
                </c:pt>
                <c:pt idx="14">
                  <c:v>1.9364286152221815</c:v>
                </c:pt>
                <c:pt idx="15">
                  <c:v>2.0655238562369935</c:v>
                </c:pt>
                <c:pt idx="16">
                  <c:v>2.1946190972518056</c:v>
                </c:pt>
                <c:pt idx="17">
                  <c:v>2.3237143382666177</c:v>
                </c:pt>
                <c:pt idx="18">
                  <c:v>2.4528095792814297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24-42C9-B637-0EE9D0A02CC3}"/>
            </c:ext>
          </c:extLst>
        </c:ser>
        <c:ser>
          <c:idx val="2"/>
          <c:order val="2"/>
          <c:tx>
            <c:v>capa 3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'Asentamientos sección rectang.'!$J$68:$J$86</c:f>
              <c:numCache>
                <c:formatCode>General</c:formatCode>
                <c:ptCount val="19"/>
                <c:pt idx="0">
                  <c:v>0</c:v>
                </c:pt>
                <c:pt idx="1">
                  <c:v>0.59983395599833944</c:v>
                </c:pt>
                <c:pt idx="2">
                  <c:v>1.3496264009962637</c:v>
                </c:pt>
                <c:pt idx="3">
                  <c:v>2.3243565794935659</c:v>
                </c:pt>
                <c:pt idx="4">
                  <c:v>3.6739829804898294</c:v>
                </c:pt>
                <c:pt idx="5">
                  <c:v>5.3235263594852622</c:v>
                </c:pt>
                <c:pt idx="6">
                  <c:v>7.1980074719800742</c:v>
                </c:pt>
                <c:pt idx="7">
                  <c:v>9.4473848069738473</c:v>
                </c:pt>
                <c:pt idx="8">
                  <c:v>11.921699875466997</c:v>
                </c:pt>
                <c:pt idx="9">
                  <c:v>14.77091116645911</c:v>
                </c:pt>
                <c:pt idx="10">
                  <c:v>17.845060190950601</c:v>
                </c:pt>
                <c:pt idx="11">
                  <c:v>21.519043171440426</c:v>
                </c:pt>
                <c:pt idx="12">
                  <c:v>25.642901618929013</c:v>
                </c:pt>
                <c:pt idx="13">
                  <c:v>30.141656288916558</c:v>
                </c:pt>
                <c:pt idx="14">
                  <c:v>35.765099626400989</c:v>
                </c:pt>
                <c:pt idx="15">
                  <c:v>42.363273142382724</c:v>
                </c:pt>
                <c:pt idx="16">
                  <c:v>51.285803237858026</c:v>
                </c:pt>
                <c:pt idx="17">
                  <c:v>63.582399335823986</c:v>
                </c:pt>
                <c:pt idx="18">
                  <c:v>84.501608551266074</c:v>
                </c:pt>
              </c:numCache>
            </c:numRef>
          </c:xVal>
          <c:yVal>
            <c:numRef>
              <c:f>'Asentamientos sección rectang.'!$K$68:$K$86</c:f>
              <c:numCache>
                <c:formatCode>General</c:formatCode>
                <c:ptCount val="19"/>
                <c:pt idx="0">
                  <c:v>0</c:v>
                </c:pt>
                <c:pt idx="1">
                  <c:v>0.20783411002928071</c:v>
                </c:pt>
                <c:pt idx="2">
                  <c:v>0.31175116504392103</c:v>
                </c:pt>
                <c:pt idx="3">
                  <c:v>0.41566822005856141</c:v>
                </c:pt>
                <c:pt idx="4">
                  <c:v>0.51958527507320174</c:v>
                </c:pt>
                <c:pt idx="5">
                  <c:v>0.62350233008784206</c:v>
                </c:pt>
                <c:pt idx="6">
                  <c:v>0.72741938510248239</c:v>
                </c:pt>
                <c:pt idx="7">
                  <c:v>0.83133644011712282</c:v>
                </c:pt>
                <c:pt idx="8">
                  <c:v>0.93525349513176315</c:v>
                </c:pt>
                <c:pt idx="9">
                  <c:v>1.0391705501464035</c:v>
                </c:pt>
                <c:pt idx="10">
                  <c:v>1.1430876051610439</c:v>
                </c:pt>
                <c:pt idx="11">
                  <c:v>1.2470046601756841</c:v>
                </c:pt>
                <c:pt idx="12">
                  <c:v>1.3509217151903246</c:v>
                </c:pt>
                <c:pt idx="13">
                  <c:v>1.4548387702049648</c:v>
                </c:pt>
                <c:pt idx="14">
                  <c:v>1.5587558252196052</c:v>
                </c:pt>
                <c:pt idx="15">
                  <c:v>1.6626728802342456</c:v>
                </c:pt>
                <c:pt idx="16">
                  <c:v>1.7665899352488859</c:v>
                </c:pt>
                <c:pt idx="17">
                  <c:v>1.8705069902635263</c:v>
                </c:pt>
                <c:pt idx="18">
                  <c:v>1.9744240452781665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24-42C9-B637-0EE9D0A02CC3}"/>
            </c:ext>
          </c:extLst>
        </c:ser>
        <c:ser>
          <c:idx val="3"/>
          <c:order val="3"/>
          <c:tx>
            <c:v>capa 4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'Asentamientos sección rectang.'!$P$68:$P$86</c:f>
              <c:numCache>
                <c:formatCode>General</c:formatCode>
                <c:ptCount val="19"/>
                <c:pt idx="0">
                  <c:v>0</c:v>
                </c:pt>
                <c:pt idx="1">
                  <c:v>0.37667389265562784</c:v>
                </c:pt>
                <c:pt idx="2">
                  <c:v>0.84751625847516265</c:v>
                </c:pt>
                <c:pt idx="3">
                  <c:v>1.4596113340405577</c:v>
                </c:pt>
                <c:pt idx="4">
                  <c:v>2.3071275925157204</c:v>
                </c:pt>
                <c:pt idx="5">
                  <c:v>3.3429807973186971</c:v>
                </c:pt>
                <c:pt idx="6">
                  <c:v>4.5200867118675339</c:v>
                </c:pt>
                <c:pt idx="7">
                  <c:v>5.9326138093261385</c:v>
                </c:pt>
                <c:pt idx="8">
                  <c:v>7.4863936165306031</c:v>
                </c:pt>
                <c:pt idx="9">
                  <c:v>9.2755946066448356</c:v>
                </c:pt>
                <c:pt idx="10">
                  <c:v>11.206048306504929</c:v>
                </c:pt>
                <c:pt idx="11">
                  <c:v>13.513175899020649</c:v>
                </c:pt>
                <c:pt idx="12">
                  <c:v>16.102808911028092</c:v>
                </c:pt>
                <c:pt idx="13">
                  <c:v>18.927863105945299</c:v>
                </c:pt>
                <c:pt idx="14">
                  <c:v>22.45918084959181</c:v>
                </c:pt>
                <c:pt idx="15">
                  <c:v>26.602593668803717</c:v>
                </c:pt>
                <c:pt idx="16">
                  <c:v>32.205617822056183</c:v>
                </c:pt>
                <c:pt idx="17">
                  <c:v>39.92743262149655</c:v>
                </c:pt>
                <c:pt idx="18">
                  <c:v>53.06393462786157</c:v>
                </c:pt>
              </c:numCache>
            </c:numRef>
          </c:xVal>
          <c:yVal>
            <c:numRef>
              <c:f>'Asentamientos sección rectang.'!$Q$68:$Q$86</c:f>
              <c:numCache>
                <c:formatCode>General</c:formatCode>
                <c:ptCount val="19"/>
                <c:pt idx="0">
                  <c:v>0</c:v>
                </c:pt>
                <c:pt idx="1">
                  <c:v>0.11712523749798157</c:v>
                </c:pt>
                <c:pt idx="2">
                  <c:v>0.17568785624697233</c:v>
                </c:pt>
                <c:pt idx="3">
                  <c:v>0.23425047499596313</c:v>
                </c:pt>
                <c:pt idx="4">
                  <c:v>0.2928130937449539</c:v>
                </c:pt>
                <c:pt idx="5">
                  <c:v>0.35137571249394467</c:v>
                </c:pt>
                <c:pt idx="6">
                  <c:v>0.40993833124293544</c:v>
                </c:pt>
                <c:pt idx="7">
                  <c:v>0.46850094999192626</c:v>
                </c:pt>
                <c:pt idx="8">
                  <c:v>0.52706356874091709</c:v>
                </c:pt>
                <c:pt idx="9">
                  <c:v>0.5856261874899078</c:v>
                </c:pt>
                <c:pt idx="10">
                  <c:v>0.64418880623889874</c:v>
                </c:pt>
                <c:pt idx="11">
                  <c:v>0.70275142498788934</c:v>
                </c:pt>
                <c:pt idx="12">
                  <c:v>0.76131404373688016</c:v>
                </c:pt>
                <c:pt idx="13">
                  <c:v>0.81987666248587088</c:v>
                </c:pt>
                <c:pt idx="14">
                  <c:v>0.87843928123486181</c:v>
                </c:pt>
                <c:pt idx="15">
                  <c:v>0.93700189998385253</c:v>
                </c:pt>
                <c:pt idx="16">
                  <c:v>0.99556451873284324</c:v>
                </c:pt>
                <c:pt idx="17">
                  <c:v>1.0541271374818342</c:v>
                </c:pt>
                <c:pt idx="18">
                  <c:v>1.1126897562308247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E24-42C9-B637-0EE9D0A02CC3}"/>
            </c:ext>
          </c:extLst>
        </c:ser>
        <c:ser>
          <c:idx val="4"/>
          <c:order val="4"/>
          <c:tx>
            <c:v>capa 2 tendencia</c:v>
          </c:tx>
          <c:spPr>
            <a:ln w="12700" cap="rnd" cmpd="dbl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24-42C9-B637-0EE9D0A02CC3}"/>
                </c:ext>
              </c:extLst>
            </c:dLbl>
            <c:dLbl>
              <c:idx val="1"/>
              <c:layout>
                <c:manualLayout>
                  <c:x val="-6.6814298681042827E-2"/>
                  <c:y val="-2.226487502756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24-42C9-B637-0EE9D0A02CC3}"/>
                </c:ext>
              </c:extLst>
            </c:dLbl>
            <c:spPr>
              <a:noFill/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'Asentamientos sección rectang.'!$M$13:$M$14</c:f>
              <c:numCache>
                <c:formatCode>General</c:formatCode>
                <c:ptCount val="2"/>
                <c:pt idx="0">
                  <c:v>44.314264217517639</c:v>
                </c:pt>
                <c:pt idx="1">
                  <c:v>182.09343168247273</c:v>
                </c:pt>
              </c:numCache>
            </c:numRef>
          </c:xVal>
          <c:yVal>
            <c:numRef>
              <c:f>'Asentamientos sección rectang.'!$N$13:$N$14</c:f>
              <c:numCache>
                <c:formatCode>General</c:formatCode>
                <c:ptCount val="2"/>
                <c:pt idx="0">
                  <c:v>2.5819048202962418</c:v>
                </c:pt>
                <c:pt idx="1">
                  <c:v>2.5819048202962418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E24-42C9-B637-0EE9D0A02CC3}"/>
            </c:ext>
          </c:extLst>
        </c:ser>
        <c:ser>
          <c:idx val="5"/>
          <c:order val="5"/>
          <c:tx>
            <c:v>CAPA 3 TENDENCIA</c:v>
          </c:tx>
          <c:spPr>
            <a:ln w="158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24-42C9-B637-0EE9D0A02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'Asentamientos sección rectang.'!$P$13:$P$14</c:f>
              <c:numCache>
                <c:formatCode>General</c:formatCode>
                <c:ptCount val="2"/>
                <c:pt idx="0">
                  <c:v>84.501608551266074</c:v>
                </c:pt>
                <c:pt idx="1">
                  <c:v>182.09343168247273</c:v>
                </c:pt>
              </c:numCache>
            </c:numRef>
          </c:xVal>
          <c:yVal>
            <c:numRef>
              <c:f>'Asentamientos sección rectang.'!$Q$13:$Q$14</c:f>
              <c:numCache>
                <c:formatCode>General</c:formatCode>
                <c:ptCount val="2"/>
                <c:pt idx="0">
                  <c:v>2.0783411002928069</c:v>
                </c:pt>
                <c:pt idx="1">
                  <c:v>2.0783411002928069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E24-42C9-B637-0EE9D0A02CC3}"/>
            </c:ext>
          </c:extLst>
        </c:ser>
        <c:ser>
          <c:idx val="6"/>
          <c:order val="6"/>
          <c:tx>
            <c:v>CAPA 4 TENDENCIA</c:v>
          </c:tx>
          <c:spPr>
            <a:ln w="15875" cap="rnd" cmpd="dbl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24-42C9-B637-0EE9D0A02CC3}"/>
                </c:ext>
              </c:extLst>
            </c:dLbl>
            <c:dLbl>
              <c:idx val="1"/>
              <c:spPr>
                <a:noFill/>
                <a:ln>
                  <a:solidFill>
                    <a:srgbClr val="00B05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E24-42C9-B637-0EE9D0A02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'Asentamientos sección rectang.'!$M$17:$M$18</c:f>
              <c:numCache>
                <c:formatCode>General</c:formatCode>
                <c:ptCount val="2"/>
                <c:pt idx="0">
                  <c:v>53.06393462786157</c:v>
                </c:pt>
                <c:pt idx="1">
                  <c:v>182.09343168247273</c:v>
                </c:pt>
              </c:numCache>
            </c:numRef>
          </c:xVal>
          <c:yVal>
            <c:numRef>
              <c:f>'Asentamientos sección rectang.'!$N$17:$N$18</c:f>
              <c:numCache>
                <c:formatCode>General</c:formatCode>
                <c:ptCount val="2"/>
                <c:pt idx="0">
                  <c:v>1.1712523749798156</c:v>
                </c:pt>
                <c:pt idx="1">
                  <c:v>1.1712523749798156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E24-42C9-B637-0EE9D0A02CC3}"/>
            </c:ext>
          </c:extLst>
        </c:ser>
        <c:ser>
          <c:idx val="7"/>
          <c:order val="7"/>
          <c:tx>
            <c:v>PUNTO CAPA 1</c:v>
          </c:tx>
          <c:spPr>
            <a:ln w="15875" cap="rnd" cmpd="dbl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E24-42C9-B637-0EE9D0A02CC3}"/>
                </c:ext>
              </c:extLst>
            </c:dLbl>
            <c:dLbl>
              <c:idx val="1"/>
              <c:layout>
                <c:manualLayout>
                  <c:x val="-4.1895993471116048E-2"/>
                  <c:y val="-7.136197664374451E-2"/>
                </c:manualLayout>
              </c:layout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E24-42C9-B637-0EE9D0A02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'Asentamientos sección rectang.'!$P$17:$P$18</c:f>
              <c:numCache>
                <c:formatCode>General</c:formatCode>
                <c:ptCount val="2"/>
                <c:pt idx="0">
                  <c:v>182.09343168247273</c:v>
                </c:pt>
                <c:pt idx="1">
                  <c:v>183.91436599929744</c:v>
                </c:pt>
              </c:numCache>
            </c:numRef>
          </c:xVal>
          <c:yVal>
            <c:numRef>
              <c:f>'Asentamientos sección rectang.'!$Q$17:$Q$18</c:f>
              <c:numCache>
                <c:formatCode>General</c:formatCode>
                <c:ptCount val="2"/>
                <c:pt idx="0">
                  <c:v>1.8799532758880502</c:v>
                </c:pt>
                <c:pt idx="1">
                  <c:v>1.8799532758880502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E24-42C9-B637-0EE9D0A0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936224"/>
        <c:axId val="660932616"/>
      </c:scatterChart>
      <c:valAx>
        <c:axId val="660936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0932616"/>
        <c:crosses val="autoZero"/>
        <c:crossBetween val="midCat"/>
        <c:majorUnit val="15"/>
      </c:valAx>
      <c:valAx>
        <c:axId val="6609326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093622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485060</xdr:colOff>
      <xdr:row>8</xdr:row>
      <xdr:rowOff>194511</xdr:rowOff>
    </xdr:from>
    <xdr:to>
      <xdr:col>10</xdr:col>
      <xdr:colOff>652195</xdr:colOff>
      <xdr:row>37</xdr:row>
      <xdr:rowOff>87442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EC5E8A-DB54-42B4-9C58-9A94823DD0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823491</xdr:colOff>
      <xdr:row>8</xdr:row>
      <xdr:rowOff>204258</xdr:rowOff>
    </xdr:from>
    <xdr:to>
      <xdr:col>17</xdr:col>
      <xdr:colOff>528549</xdr:colOff>
      <xdr:row>37</xdr:row>
      <xdr:rowOff>88604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3C945F-6CB7-41AC-B627-48C526012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1119-F3C6-4C71-B000-2B444A1CA891}">
  <dimension ref="B1:AH86"/>
  <sheetViews>
    <sheetView tabSelected="1" zoomScale="25" zoomScaleNormal="25" workbookViewId="0">
      <selection activeCell="M4" sqref="M4"/>
    </sheetView>
  </sheetViews>
  <sheetFormatPr baseColWidth="10" defaultRowHeight="14.4" x14ac:dyDescent="0.3"/>
  <cols>
    <col min="1" max="1" width="11.5546875" style="15"/>
    <col min="2" max="2" width="23.109375" style="15" customWidth="1"/>
    <col min="3" max="4" width="11.5546875" style="15"/>
    <col min="5" max="5" width="3.88671875" style="15" customWidth="1"/>
    <col min="6" max="6" width="15.109375" style="15" customWidth="1"/>
    <col min="7" max="7" width="14" style="15" customWidth="1"/>
    <col min="8" max="9" width="11.5546875" style="15"/>
    <col min="10" max="10" width="11.5546875" style="15" customWidth="1"/>
    <col min="11" max="11" width="15.109375" style="15" customWidth="1"/>
    <col min="12" max="12" width="11.6640625" style="15" customWidth="1"/>
    <col min="13" max="13" width="12.5546875" style="15" customWidth="1"/>
    <col min="14" max="14" width="12.5546875" style="15" bestFit="1" customWidth="1"/>
    <col min="15" max="16" width="11.5546875" style="15"/>
    <col min="17" max="17" width="18.21875" style="15" customWidth="1"/>
    <col min="18" max="16384" width="11.5546875" style="15"/>
  </cols>
  <sheetData>
    <row r="1" spans="2:34" x14ac:dyDescent="0.3"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2:34" x14ac:dyDescent="0.3">
      <c r="B2" s="38" t="s">
        <v>13</v>
      </c>
      <c r="C2" s="38"/>
      <c r="D2" s="38"/>
      <c r="F2" s="48" t="s">
        <v>14</v>
      </c>
      <c r="G2" s="48"/>
      <c r="H2" s="48"/>
      <c r="I2" s="48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</row>
    <row r="3" spans="2:34" ht="14.4" customHeight="1" x14ac:dyDescent="0.3">
      <c r="B3" s="38"/>
      <c r="C3" s="38"/>
      <c r="D3" s="38"/>
      <c r="F3" s="48"/>
      <c r="G3" s="48"/>
      <c r="H3" s="48"/>
      <c r="I3" s="48"/>
      <c r="S3" s="4"/>
      <c r="T3" s="47" t="s">
        <v>29</v>
      </c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6"/>
    </row>
    <row r="4" spans="2:34" ht="14.4" customHeight="1" x14ac:dyDescent="0.3">
      <c r="B4" s="39"/>
      <c r="C4" s="39"/>
      <c r="D4" s="39"/>
      <c r="F4" s="40" t="s">
        <v>15</v>
      </c>
      <c r="G4" s="40"/>
      <c r="H4" s="7">
        <v>10</v>
      </c>
      <c r="I4" s="7" t="s">
        <v>7</v>
      </c>
      <c r="S4" s="4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6"/>
    </row>
    <row r="5" spans="2:34" ht="16.8" x14ac:dyDescent="0.35">
      <c r="B5" s="41" t="s">
        <v>1</v>
      </c>
      <c r="C5" s="41"/>
      <c r="D5" s="41"/>
      <c r="F5" s="40" t="s">
        <v>16</v>
      </c>
      <c r="G5" s="40"/>
      <c r="H5" s="7">
        <v>18</v>
      </c>
      <c r="I5" s="7" t="s">
        <v>7</v>
      </c>
      <c r="S5" s="4"/>
      <c r="T5" s="7" t="s">
        <v>17</v>
      </c>
      <c r="U5" s="7">
        <f>$C$10*0.1</f>
        <v>0.91999999999999993</v>
      </c>
      <c r="V5" s="7" t="s">
        <v>27</v>
      </c>
      <c r="W5" s="7">
        <f>($H$4/2)^2+(U5^2)</f>
        <v>25.846399999999999</v>
      </c>
      <c r="X5" s="7" t="s">
        <v>28</v>
      </c>
      <c r="Y5" s="7">
        <f>($H$5/2)^2+U5^2</f>
        <v>81.846400000000003</v>
      </c>
      <c r="Z5" s="7" t="s">
        <v>30</v>
      </c>
      <c r="AA5" s="7">
        <f>SQRT(($H$4/2)^2+($H$5/2)^2+U5^2)</f>
        <v>10.336653230132082</v>
      </c>
      <c r="AB5" s="8" t="s">
        <v>33</v>
      </c>
      <c r="AC5" s="7">
        <f>(($H$8/(2*PI()))*(ATAN(($H$5/2)*($H$4/2)/(U5*AA5))+(($H$5/2)*($H$4/2)*U5/AA5)*((1/W5)+(1/Y5))))*4</f>
        <v>8.4763660902842606</v>
      </c>
      <c r="AD5" s="9" t="s">
        <v>43</v>
      </c>
      <c r="AE5" s="7">
        <f>(AC5/10)*($C$10*100)*$C$6</f>
        <v>1.4816687925816885</v>
      </c>
      <c r="AF5" s="10" t="s">
        <v>53</v>
      </c>
      <c r="AG5" s="7">
        <f>(AC5/10)*($C$10*100)*$C$7</f>
        <v>2.4174596089490707</v>
      </c>
      <c r="AH5" s="6"/>
    </row>
    <row r="6" spans="2:34" ht="16.8" x14ac:dyDescent="0.35">
      <c r="B6" s="7" t="s">
        <v>2</v>
      </c>
      <c r="C6" s="7">
        <v>1.9E-3</v>
      </c>
      <c r="D6" s="7" t="s">
        <v>3</v>
      </c>
      <c r="S6" s="4"/>
      <c r="T6" s="7" t="s">
        <v>18</v>
      </c>
      <c r="U6" s="7">
        <f>$C$10*0.2</f>
        <v>1.8399999999999999</v>
      </c>
      <c r="V6" s="7" t="s">
        <v>27</v>
      </c>
      <c r="W6" s="7">
        <f t="shared" ref="W6:W14" si="0">($H$4/2)^2+(U6^2)</f>
        <v>28.3856</v>
      </c>
      <c r="X6" s="7" t="s">
        <v>28</v>
      </c>
      <c r="Y6" s="7">
        <f t="shared" ref="Y6:Y14" si="1">($H$5/2)^2+U6^2</f>
        <v>84.385599999999997</v>
      </c>
      <c r="Z6" s="7" t="s">
        <v>30</v>
      </c>
      <c r="AA6" s="7">
        <f t="shared" ref="AA6:AA14" si="2">SQRT(($H$4/2)^2+($H$5/2)^2+U6^2)</f>
        <v>10.458757096328416</v>
      </c>
      <c r="AB6" s="8" t="s">
        <v>34</v>
      </c>
      <c r="AC6" s="7">
        <f t="shared" ref="AC6:AC14" si="3">(($H$8/(2*PI()))*(ATAN(($H$5/2)*($H$4/2)/(U6*AA6))+(($H$5/2)*($H$4/2)*U6/AA6)*((1/W6)+(1/Y6))))*4</f>
        <v>8.3301345090034467</v>
      </c>
      <c r="AD6" s="9" t="s">
        <v>44</v>
      </c>
      <c r="AE6" s="7">
        <f t="shared" ref="AE6:AE14" si="4">(AC6/10)*($C$10*100)*$C$6</f>
        <v>1.4561075121738023</v>
      </c>
      <c r="AF6" s="10" t="s">
        <v>54</v>
      </c>
      <c r="AG6" s="7">
        <f t="shared" ref="AG6:AG14" si="5">(AC6/10)*($C$10*100)*$C$7</f>
        <v>2.3757543619677826</v>
      </c>
      <c r="AH6" s="6"/>
    </row>
    <row r="7" spans="2:34" ht="16.8" x14ac:dyDescent="0.35">
      <c r="B7" s="7" t="s">
        <v>4</v>
      </c>
      <c r="C7" s="7">
        <v>3.0999999999999999E-3</v>
      </c>
      <c r="D7" s="7" t="s">
        <v>3</v>
      </c>
      <c r="F7" s="46" t="s">
        <v>65</v>
      </c>
      <c r="G7" s="46"/>
      <c r="H7" s="46"/>
      <c r="I7" s="46"/>
      <c r="S7" s="4"/>
      <c r="T7" s="7" t="s">
        <v>19</v>
      </c>
      <c r="U7" s="7">
        <f>$C$10*0.3</f>
        <v>2.76</v>
      </c>
      <c r="V7" s="7" t="s">
        <v>27</v>
      </c>
      <c r="W7" s="7">
        <f t="shared" si="0"/>
        <v>32.617599999999996</v>
      </c>
      <c r="X7" s="7" t="s">
        <v>28</v>
      </c>
      <c r="Y7" s="7">
        <f t="shared" si="1"/>
        <v>88.617599999999996</v>
      </c>
      <c r="Z7" s="7" t="s">
        <v>31</v>
      </c>
      <c r="AA7" s="7">
        <f t="shared" si="2"/>
        <v>10.659155688890186</v>
      </c>
      <c r="AB7" s="8" t="s">
        <v>35</v>
      </c>
      <c r="AC7" s="7">
        <f>(($H$8/(2*PI()))*(ATAN(($H$5/2)*($H$4/2)/(U7*AA7))+(($H$5/2)*($H$4/2)*U7/AA7)*((1/W7)+(1/Y7))))*4</f>
        <v>8.0113616912127519</v>
      </c>
      <c r="AD7" s="9" t="s">
        <v>45</v>
      </c>
      <c r="AE7" s="7">
        <f t="shared" si="4"/>
        <v>1.4003860236239887</v>
      </c>
      <c r="AF7" s="10" t="s">
        <v>55</v>
      </c>
      <c r="AG7" s="7">
        <f t="shared" si="5"/>
        <v>2.2848403543338764</v>
      </c>
      <c r="AH7" s="6"/>
    </row>
    <row r="8" spans="2:34" ht="16.8" x14ac:dyDescent="0.35">
      <c r="B8" s="7" t="s">
        <v>5</v>
      </c>
      <c r="C8" s="7">
        <v>0.59799999999999998</v>
      </c>
      <c r="D8" s="7" t="s">
        <v>6</v>
      </c>
      <c r="F8" s="40" t="s">
        <v>103</v>
      </c>
      <c r="G8" s="40"/>
      <c r="H8" s="17">
        <v>8.5</v>
      </c>
      <c r="I8" s="7" t="s">
        <v>32</v>
      </c>
      <c r="S8" s="4"/>
      <c r="T8" s="7" t="s">
        <v>20</v>
      </c>
      <c r="U8" s="7">
        <f>$C$10*0.4</f>
        <v>3.6799999999999997</v>
      </c>
      <c r="V8" s="7" t="s">
        <v>27</v>
      </c>
      <c r="W8" s="7">
        <f t="shared" si="0"/>
        <v>38.542400000000001</v>
      </c>
      <c r="X8" s="7" t="s">
        <v>28</v>
      </c>
      <c r="Y8" s="7">
        <f t="shared" si="1"/>
        <v>94.542400000000001</v>
      </c>
      <c r="Z8" s="7" t="s">
        <v>31</v>
      </c>
      <c r="AA8" s="7">
        <f t="shared" si="2"/>
        <v>10.933544713403792</v>
      </c>
      <c r="AB8" s="8" t="s">
        <v>36</v>
      </c>
      <c r="AC8" s="7">
        <f t="shared" si="3"/>
        <v>7.5455460943479187</v>
      </c>
      <c r="AD8" s="9" t="s">
        <v>46</v>
      </c>
      <c r="AE8" s="7">
        <f t="shared" si="4"/>
        <v>1.3189614572920161</v>
      </c>
      <c r="AF8" s="10" t="s">
        <v>56</v>
      </c>
      <c r="AG8" s="7">
        <f t="shared" si="5"/>
        <v>2.1519897461080264</v>
      </c>
      <c r="AH8" s="6"/>
    </row>
    <row r="9" spans="2:34" ht="16.8" x14ac:dyDescent="0.35">
      <c r="B9" s="7" t="s">
        <v>8</v>
      </c>
      <c r="C9" s="7">
        <v>9.1999999999999993</v>
      </c>
      <c r="D9" s="7" t="s">
        <v>7</v>
      </c>
      <c r="S9" s="4"/>
      <c r="T9" s="7" t="s">
        <v>21</v>
      </c>
      <c r="U9" s="7">
        <f>$C$10*0.5</f>
        <v>4.5999999999999996</v>
      </c>
      <c r="V9" s="7" t="s">
        <v>27</v>
      </c>
      <c r="W9" s="7">
        <f t="shared" si="0"/>
        <v>46.16</v>
      </c>
      <c r="X9" s="7" t="s">
        <v>28</v>
      </c>
      <c r="Y9" s="7">
        <f t="shared" si="1"/>
        <v>102.16</v>
      </c>
      <c r="Z9" s="7" t="s">
        <v>31</v>
      </c>
      <c r="AA9" s="7">
        <f t="shared" si="2"/>
        <v>11.276524287208359</v>
      </c>
      <c r="AB9" s="8" t="s">
        <v>37</v>
      </c>
      <c r="AC9" s="7">
        <f t="shared" si="3"/>
        <v>6.9910315779483225</v>
      </c>
      <c r="AD9" s="9" t="s">
        <v>47</v>
      </c>
      <c r="AE9" s="7">
        <f t="shared" si="4"/>
        <v>1.2220323198253664</v>
      </c>
      <c r="AF9" s="10" t="s">
        <v>57</v>
      </c>
      <c r="AG9" s="7">
        <f t="shared" si="5"/>
        <v>1.9938422060308612</v>
      </c>
      <c r="AH9" s="6"/>
    </row>
    <row r="10" spans="2:34" ht="16.8" x14ac:dyDescent="0.35">
      <c r="B10" s="7" t="s">
        <v>10</v>
      </c>
      <c r="C10" s="7">
        <v>9.1999999999999993</v>
      </c>
      <c r="D10" s="7" t="s">
        <v>7</v>
      </c>
      <c r="S10" s="4"/>
      <c r="T10" s="7" t="s">
        <v>22</v>
      </c>
      <c r="U10" s="7">
        <f>$C$10*0.6</f>
        <v>5.52</v>
      </c>
      <c r="V10" s="7" t="s">
        <v>27</v>
      </c>
      <c r="W10" s="7">
        <f t="shared" si="0"/>
        <v>55.470399999999998</v>
      </c>
      <c r="X10" s="7" t="s">
        <v>28</v>
      </c>
      <c r="Y10" s="7">
        <f t="shared" si="1"/>
        <v>111.4704</v>
      </c>
      <c r="Z10" s="7" t="s">
        <v>31</v>
      </c>
      <c r="AA10" s="7">
        <f t="shared" si="2"/>
        <v>11.682054613808308</v>
      </c>
      <c r="AB10" s="8" t="s">
        <v>38</v>
      </c>
      <c r="AC10" s="7">
        <f t="shared" si="3"/>
        <v>6.4034517803899522</v>
      </c>
      <c r="AD10" s="9" t="s">
        <v>48</v>
      </c>
      <c r="AE10" s="7">
        <f t="shared" si="4"/>
        <v>1.1193233712121635</v>
      </c>
      <c r="AF10" s="10" t="s">
        <v>58</v>
      </c>
      <c r="AG10" s="7">
        <f t="shared" si="5"/>
        <v>1.8262644477672141</v>
      </c>
      <c r="AH10" s="6"/>
    </row>
    <row r="11" spans="2:34" ht="14.4" customHeight="1" thickBot="1" x14ac:dyDescent="0.4">
      <c r="B11" s="42" t="s">
        <v>9</v>
      </c>
      <c r="C11" s="42"/>
      <c r="D11" s="40">
        <v>1</v>
      </c>
      <c r="Q11" s="18"/>
      <c r="S11" s="4"/>
      <c r="T11" s="7" t="s">
        <v>23</v>
      </c>
      <c r="U11" s="7">
        <f>$C$10*0.7</f>
        <v>6.4399999999999995</v>
      </c>
      <c r="V11" s="7" t="s">
        <v>27</v>
      </c>
      <c r="W11" s="7">
        <f t="shared" si="0"/>
        <v>66.47359999999999</v>
      </c>
      <c r="X11" s="7" t="s">
        <v>28</v>
      </c>
      <c r="Y11" s="7">
        <f t="shared" si="1"/>
        <v>122.47359999999999</v>
      </c>
      <c r="Z11" s="7" t="s">
        <v>31</v>
      </c>
      <c r="AA11" s="7">
        <f t="shared" si="2"/>
        <v>12.14387088205404</v>
      </c>
      <c r="AB11" s="8" t="s">
        <v>39</v>
      </c>
      <c r="AC11" s="7">
        <f t="shared" si="3"/>
        <v>5.8224257127250167</v>
      </c>
      <c r="AD11" s="9" t="s">
        <v>49</v>
      </c>
      <c r="AE11" s="7">
        <f t="shared" si="4"/>
        <v>1.0177600145843329</v>
      </c>
      <c r="AF11" s="10" t="s">
        <v>59</v>
      </c>
      <c r="AG11" s="7">
        <f t="shared" si="5"/>
        <v>1.6605558132691747</v>
      </c>
      <c r="AH11" s="6"/>
    </row>
    <row r="12" spans="2:34" ht="16.8" customHeight="1" x14ac:dyDescent="0.35">
      <c r="B12" s="42"/>
      <c r="C12" s="42"/>
      <c r="D12" s="40"/>
      <c r="M12" s="49" t="s">
        <v>89</v>
      </c>
      <c r="N12" s="50"/>
      <c r="P12" s="51" t="s">
        <v>91</v>
      </c>
      <c r="Q12" s="52"/>
      <c r="S12" s="4"/>
      <c r="T12" s="7" t="s">
        <v>24</v>
      </c>
      <c r="U12" s="7">
        <f>$C$10*0.8</f>
        <v>7.3599999999999994</v>
      </c>
      <c r="V12" s="7" t="s">
        <v>27</v>
      </c>
      <c r="W12" s="7">
        <f t="shared" si="0"/>
        <v>79.169599999999988</v>
      </c>
      <c r="X12" s="7" t="s">
        <v>28</v>
      </c>
      <c r="Y12" s="7">
        <f t="shared" si="1"/>
        <v>135.1696</v>
      </c>
      <c r="Z12" s="7" t="s">
        <v>31</v>
      </c>
      <c r="AA12" s="7">
        <f t="shared" si="2"/>
        <v>12.655812893686443</v>
      </c>
      <c r="AB12" s="8" t="s">
        <v>40</v>
      </c>
      <c r="AC12" s="7">
        <f t="shared" si="3"/>
        <v>5.2716786959353374</v>
      </c>
      <c r="AD12" s="9" t="s">
        <v>50</v>
      </c>
      <c r="AE12" s="7">
        <f t="shared" si="4"/>
        <v>0.92148943604949696</v>
      </c>
      <c r="AF12" s="10" t="s">
        <v>60</v>
      </c>
      <c r="AG12" s="7">
        <f t="shared" si="5"/>
        <v>1.5034827640807582</v>
      </c>
      <c r="AH12" s="6"/>
    </row>
    <row r="13" spans="2:34" ht="16.8" customHeight="1" x14ac:dyDescent="0.35">
      <c r="B13" s="40"/>
      <c r="C13" s="40"/>
      <c r="D13" s="40"/>
      <c r="M13" s="4">
        <f>P63</f>
        <v>44.314264217517639</v>
      </c>
      <c r="N13" s="6">
        <f>Q64</f>
        <v>2.5819048202962418</v>
      </c>
      <c r="P13" s="4">
        <f>J86</f>
        <v>84.501608551266074</v>
      </c>
      <c r="Q13" s="6">
        <f>AG50</f>
        <v>2.0783411002928069</v>
      </c>
      <c r="S13" s="4"/>
      <c r="T13" s="7" t="s">
        <v>25</v>
      </c>
      <c r="U13" s="7">
        <f>$C$10*0.9</f>
        <v>8.2799999999999994</v>
      </c>
      <c r="V13" s="7" t="s">
        <v>27</v>
      </c>
      <c r="W13" s="7">
        <f t="shared" si="0"/>
        <v>93.558399999999992</v>
      </c>
      <c r="X13" s="7" t="s">
        <v>28</v>
      </c>
      <c r="Y13" s="7">
        <f t="shared" si="1"/>
        <v>149.55840000000001</v>
      </c>
      <c r="Z13" s="7" t="s">
        <v>31</v>
      </c>
      <c r="AA13" s="7">
        <f t="shared" si="2"/>
        <v>13.212055101308048</v>
      </c>
      <c r="AB13" s="8" t="s">
        <v>41</v>
      </c>
      <c r="AC13" s="7">
        <f t="shared" si="3"/>
        <v>4.7632694222292233</v>
      </c>
      <c r="AD13" s="9" t="s">
        <v>51</v>
      </c>
      <c r="AE13" s="7">
        <f t="shared" si="4"/>
        <v>0.83261949500566812</v>
      </c>
      <c r="AF13" s="10" t="s">
        <v>61</v>
      </c>
      <c r="AG13" s="7">
        <f t="shared" si="5"/>
        <v>1.3584844392197741</v>
      </c>
      <c r="AH13" s="6"/>
    </row>
    <row r="14" spans="2:34" ht="17.399999999999999" thickBot="1" x14ac:dyDescent="0.4">
      <c r="B14" s="40"/>
      <c r="C14" s="40"/>
      <c r="D14" s="40"/>
      <c r="M14" s="12">
        <f>P64</f>
        <v>182.09343168247273</v>
      </c>
      <c r="N14" s="14">
        <f>N13</f>
        <v>2.5819048202962418</v>
      </c>
      <c r="P14" s="12">
        <f>M14</f>
        <v>182.09343168247273</v>
      </c>
      <c r="Q14" s="14">
        <f>Q13</f>
        <v>2.0783411002928069</v>
      </c>
      <c r="S14" s="4"/>
      <c r="T14" s="7" t="s">
        <v>26</v>
      </c>
      <c r="U14" s="7">
        <f>$C$10*1</f>
        <v>9.1999999999999993</v>
      </c>
      <c r="V14" s="7" t="s">
        <v>27</v>
      </c>
      <c r="W14" s="7">
        <f t="shared" si="0"/>
        <v>109.63999999999999</v>
      </c>
      <c r="X14" s="7" t="s">
        <v>28</v>
      </c>
      <c r="Y14" s="7">
        <f t="shared" si="1"/>
        <v>165.64</v>
      </c>
      <c r="Z14" s="7" t="s">
        <v>31</v>
      </c>
      <c r="AA14" s="7">
        <f t="shared" si="2"/>
        <v>13.807244475274565</v>
      </c>
      <c r="AB14" s="8" t="s">
        <v>42</v>
      </c>
      <c r="AC14" s="7">
        <f t="shared" si="3"/>
        <v>4.301749709515998</v>
      </c>
      <c r="AD14" s="9" t="s">
        <v>52</v>
      </c>
      <c r="AE14" s="7">
        <f t="shared" si="4"/>
        <v>0.75194584922339636</v>
      </c>
      <c r="AF14" s="10" t="s">
        <v>62</v>
      </c>
      <c r="AG14" s="7">
        <f t="shared" si="5"/>
        <v>1.2268590171539624</v>
      </c>
      <c r="AH14" s="6"/>
    </row>
    <row r="15" spans="2:34" ht="15" thickBot="1" x14ac:dyDescent="0.35">
      <c r="B15" s="41" t="s">
        <v>0</v>
      </c>
      <c r="C15" s="41"/>
      <c r="D15" s="41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1">
        <f>AVERAGE(AE5:AE14)</f>
        <v>1.152229427157192</v>
      </c>
      <c r="AF15" s="5"/>
      <c r="AG15" s="11">
        <f>AVERAGE(AG5:AG14)</f>
        <v>1.8799532758880502</v>
      </c>
      <c r="AH15" s="6"/>
    </row>
    <row r="16" spans="2:34" x14ac:dyDescent="0.3">
      <c r="B16" s="7" t="s">
        <v>2</v>
      </c>
      <c r="C16" s="7">
        <v>5.0000000000000001E-3</v>
      </c>
      <c r="D16" s="7" t="s">
        <v>3</v>
      </c>
      <c r="M16" s="51" t="s">
        <v>95</v>
      </c>
      <c r="N16" s="52"/>
      <c r="P16" s="51" t="s">
        <v>105</v>
      </c>
      <c r="Q16" s="52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2:34" x14ac:dyDescent="0.3">
      <c r="B17" s="7" t="s">
        <v>4</v>
      </c>
      <c r="C17" s="7">
        <v>0.01</v>
      </c>
      <c r="D17" s="7" t="s">
        <v>3</v>
      </c>
      <c r="M17" s="4">
        <f>P86</f>
        <v>53.06393462786157</v>
      </c>
      <c r="N17" s="6">
        <f>AG67</f>
        <v>1.1712523749798156</v>
      </c>
      <c r="P17" s="4">
        <f>M18</f>
        <v>182.09343168247273</v>
      </c>
      <c r="Q17" s="6">
        <f>AG15</f>
        <v>1.8799532758880502</v>
      </c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2:34" ht="15" thickBot="1" x14ac:dyDescent="0.35">
      <c r="B18" s="7" t="s">
        <v>5</v>
      </c>
      <c r="C18" s="7">
        <v>0.77</v>
      </c>
      <c r="D18" s="7" t="s">
        <v>6</v>
      </c>
      <c r="M18" s="12">
        <f>M14</f>
        <v>182.09343168247273</v>
      </c>
      <c r="N18" s="14">
        <f>N17</f>
        <v>1.1712523749798156</v>
      </c>
      <c r="P18" s="12">
        <f>P17*1.01</f>
        <v>183.91436599929744</v>
      </c>
      <c r="Q18" s="14">
        <f>Q17</f>
        <v>1.8799532758880502</v>
      </c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2:34" x14ac:dyDescent="0.3">
      <c r="B19" s="7" t="s">
        <v>8</v>
      </c>
      <c r="C19" s="7">
        <v>19.5</v>
      </c>
      <c r="D19" s="7" t="s">
        <v>7</v>
      </c>
      <c r="S19" s="4"/>
      <c r="T19" s="47" t="s">
        <v>63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6"/>
    </row>
    <row r="20" spans="2:34" x14ac:dyDescent="0.3">
      <c r="B20" s="7" t="s">
        <v>10</v>
      </c>
      <c r="C20" s="7">
        <f>C19-C10</f>
        <v>10.3</v>
      </c>
      <c r="D20" s="7" t="s">
        <v>7</v>
      </c>
      <c r="S20" s="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6"/>
    </row>
    <row r="21" spans="2:34" ht="16.8" x14ac:dyDescent="0.35">
      <c r="B21" s="42" t="s">
        <v>100</v>
      </c>
      <c r="C21" s="42"/>
      <c r="D21" s="40">
        <v>2</v>
      </c>
      <c r="S21" s="4"/>
      <c r="T21" s="7" t="s">
        <v>17</v>
      </c>
      <c r="U21" s="7">
        <f>$C$10+$C$20*0.1</f>
        <v>10.229999999999999</v>
      </c>
      <c r="V21" s="7" t="s">
        <v>27</v>
      </c>
      <c r="W21" s="7">
        <f>($H$4/2)^2+(U21^2)</f>
        <v>129.65289999999999</v>
      </c>
      <c r="X21" s="7" t="s">
        <v>28</v>
      </c>
      <c r="Y21" s="7">
        <f>($H$5/2)^2+U21^2</f>
        <v>185.65289999999999</v>
      </c>
      <c r="Z21" s="7" t="s">
        <v>30</v>
      </c>
      <c r="AA21" s="7">
        <f>SQRT(($H$4/2)^2+($H$5/2)^2+U21^2)</f>
        <v>14.513886454013617</v>
      </c>
      <c r="AB21" s="8" t="s">
        <v>33</v>
      </c>
      <c r="AC21" s="7">
        <f>(($H$8/(2*PI()))*(ATAN(($H$5/2)*($H$4/2)/(U21*AA21))+(($H$5/2)*($H$4/2)*U21/AA21)*((1/W21)+(1/Y21))))*4</f>
        <v>3.8406996716849493</v>
      </c>
      <c r="AD21" s="9" t="s">
        <v>43</v>
      </c>
      <c r="AE21" s="7">
        <f>(AC21/10)*($C$20*100)*$C$16</f>
        <v>1.9779603309177489</v>
      </c>
      <c r="AF21" s="10" t="s">
        <v>53</v>
      </c>
      <c r="AG21" s="7">
        <f>(AC21/10)*($C$20*100)*$C$17</f>
        <v>3.9559206618354978</v>
      </c>
      <c r="AH21" s="6"/>
    </row>
    <row r="22" spans="2:34" ht="16.8" x14ac:dyDescent="0.35">
      <c r="B22" s="42"/>
      <c r="C22" s="42"/>
      <c r="D22" s="40"/>
      <c r="S22" s="4"/>
      <c r="T22" s="7" t="s">
        <v>18</v>
      </c>
      <c r="U22" s="7">
        <f>$C$10+$C$20*0.2</f>
        <v>11.26</v>
      </c>
      <c r="V22" s="7" t="s">
        <v>27</v>
      </c>
      <c r="W22" s="7">
        <f t="shared" ref="W22:W30" si="6">($H$4/2)^2+(U22^2)</f>
        <v>151.7876</v>
      </c>
      <c r="X22" s="7" t="s">
        <v>28</v>
      </c>
      <c r="Y22" s="7">
        <f t="shared" ref="Y22:Y30" si="7">($H$5/2)^2+U22^2</f>
        <v>207.7876</v>
      </c>
      <c r="Z22" s="7" t="s">
        <v>30</v>
      </c>
      <c r="AA22" s="7">
        <f t="shared" ref="AA22:AA30" si="8">SQRT(($H$4/2)^2+($H$5/2)^2+U22^2)</f>
        <v>15.257378542855912</v>
      </c>
      <c r="AB22" s="8" t="s">
        <v>34</v>
      </c>
      <c r="AC22" s="7">
        <f t="shared" ref="AC22:AC30" si="9">(($H$8/(2*PI()))*(ATAN(($H$5/2)*($H$4/2)/(U22*AA22))+(($H$5/2)*($H$4/2)*U22/AA22)*((1/W22)+(1/Y22))))*4</f>
        <v>3.4350791316450557</v>
      </c>
      <c r="AD22" s="9" t="s">
        <v>44</v>
      </c>
      <c r="AE22" s="7">
        <f t="shared" ref="AE22:AE30" si="10">(AC22/10)*($C$20*100)*$C$16</f>
        <v>1.7690657527972036</v>
      </c>
      <c r="AF22" s="10" t="s">
        <v>54</v>
      </c>
      <c r="AG22" s="7">
        <f t="shared" ref="AG22:AG30" si="11">(AC22/10)*($C$20*100)*$C$17</f>
        <v>3.5381315055944071</v>
      </c>
      <c r="AH22" s="6"/>
    </row>
    <row r="23" spans="2:34" ht="16.8" x14ac:dyDescent="0.35">
      <c r="B23" s="40"/>
      <c r="C23" s="40"/>
      <c r="D23" s="40"/>
      <c r="S23" s="4"/>
      <c r="T23" s="7" t="s">
        <v>19</v>
      </c>
      <c r="U23" s="7">
        <f>$C$10+$C$20*0.3</f>
        <v>12.29</v>
      </c>
      <c r="V23" s="7" t="s">
        <v>27</v>
      </c>
      <c r="W23" s="7">
        <f t="shared" si="6"/>
        <v>176.04409999999999</v>
      </c>
      <c r="X23" s="7" t="s">
        <v>28</v>
      </c>
      <c r="Y23" s="7">
        <f t="shared" si="7"/>
        <v>232.04409999999999</v>
      </c>
      <c r="Z23" s="7" t="s">
        <v>31</v>
      </c>
      <c r="AA23" s="7">
        <f t="shared" si="8"/>
        <v>16.032594924091356</v>
      </c>
      <c r="AB23" s="8" t="s">
        <v>35</v>
      </c>
      <c r="AC23" s="7">
        <f t="shared" si="9"/>
        <v>3.0797389610594355</v>
      </c>
      <c r="AD23" s="9" t="s">
        <v>45</v>
      </c>
      <c r="AE23" s="7">
        <f t="shared" si="10"/>
        <v>1.5860655649456092</v>
      </c>
      <c r="AF23" s="10" t="s">
        <v>55</v>
      </c>
      <c r="AG23" s="7">
        <f t="shared" si="11"/>
        <v>3.1721311298912185</v>
      </c>
      <c r="AH23" s="6"/>
    </row>
    <row r="24" spans="2:34" ht="16.8" x14ac:dyDescent="0.35">
      <c r="B24" s="40"/>
      <c r="C24" s="40"/>
      <c r="D24" s="40"/>
      <c r="S24" s="4"/>
      <c r="T24" s="7" t="s">
        <v>20</v>
      </c>
      <c r="U24" s="7">
        <f>$C$10+$C$20*0.4</f>
        <v>13.32</v>
      </c>
      <c r="V24" s="7" t="s">
        <v>27</v>
      </c>
      <c r="W24" s="7">
        <f t="shared" si="6"/>
        <v>202.42240000000001</v>
      </c>
      <c r="X24" s="7" t="s">
        <v>28</v>
      </c>
      <c r="Y24" s="7">
        <f t="shared" si="7"/>
        <v>258.42240000000004</v>
      </c>
      <c r="Z24" s="7" t="s">
        <v>31</v>
      </c>
      <c r="AA24" s="7">
        <f t="shared" si="8"/>
        <v>16.835153696952101</v>
      </c>
      <c r="AB24" s="8" t="s">
        <v>36</v>
      </c>
      <c r="AC24" s="7">
        <f t="shared" si="9"/>
        <v>2.7689906530761923</v>
      </c>
      <c r="AD24" s="9" t="s">
        <v>46</v>
      </c>
      <c r="AE24" s="7">
        <f t="shared" si="10"/>
        <v>1.4260301863342388</v>
      </c>
      <c r="AF24" s="10" t="s">
        <v>56</v>
      </c>
      <c r="AG24" s="7">
        <f t="shared" si="11"/>
        <v>2.8520603726684777</v>
      </c>
      <c r="AH24" s="6"/>
    </row>
    <row r="25" spans="2:34" ht="16.8" x14ac:dyDescent="0.35">
      <c r="B25" s="41" t="s">
        <v>11</v>
      </c>
      <c r="C25" s="41"/>
      <c r="D25" s="41"/>
      <c r="S25" s="4"/>
      <c r="T25" s="7" t="s">
        <v>21</v>
      </c>
      <c r="U25" s="7">
        <f>$C$10+$C$20*0.5</f>
        <v>14.35</v>
      </c>
      <c r="V25" s="7" t="s">
        <v>27</v>
      </c>
      <c r="W25" s="7">
        <f t="shared" si="6"/>
        <v>230.92249999999999</v>
      </c>
      <c r="X25" s="7" t="s">
        <v>28</v>
      </c>
      <c r="Y25" s="7">
        <f t="shared" si="7"/>
        <v>286.92250000000001</v>
      </c>
      <c r="Z25" s="7" t="s">
        <v>31</v>
      </c>
      <c r="AA25" s="7">
        <f t="shared" si="8"/>
        <v>17.661327809652366</v>
      </c>
      <c r="AB25" s="8" t="s">
        <v>37</v>
      </c>
      <c r="AC25" s="7">
        <f t="shared" si="9"/>
        <v>2.4972516223639811</v>
      </c>
      <c r="AD25" s="9" t="s">
        <v>47</v>
      </c>
      <c r="AE25" s="7">
        <f t="shared" si="10"/>
        <v>1.2860845855174503</v>
      </c>
      <c r="AF25" s="10" t="s">
        <v>57</v>
      </c>
      <c r="AG25" s="7">
        <f t="shared" si="11"/>
        <v>2.5721691710349006</v>
      </c>
      <c r="AH25" s="6"/>
    </row>
    <row r="26" spans="2:34" ht="16.8" x14ac:dyDescent="0.35">
      <c r="B26" s="7" t="s">
        <v>2</v>
      </c>
      <c r="C26" s="7">
        <v>1.2E-2</v>
      </c>
      <c r="D26" s="7" t="s">
        <v>3</v>
      </c>
      <c r="S26" s="4"/>
      <c r="T26" s="7" t="s">
        <v>22</v>
      </c>
      <c r="U26" s="7">
        <f>$C$10+$C$20*0.6</f>
        <v>15.379999999999999</v>
      </c>
      <c r="V26" s="7" t="s">
        <v>27</v>
      </c>
      <c r="W26" s="7">
        <f t="shared" si="6"/>
        <v>261.5444</v>
      </c>
      <c r="X26" s="7" t="s">
        <v>28</v>
      </c>
      <c r="Y26" s="7">
        <f t="shared" si="7"/>
        <v>317.5444</v>
      </c>
      <c r="Z26" s="7" t="s">
        <v>31</v>
      </c>
      <c r="AA26" s="7">
        <f t="shared" si="8"/>
        <v>18.507955046411798</v>
      </c>
      <c r="AB26" s="8" t="s">
        <v>38</v>
      </c>
      <c r="AC26" s="7">
        <f t="shared" si="9"/>
        <v>2.259360478224143</v>
      </c>
      <c r="AD26" s="9" t="s">
        <v>48</v>
      </c>
      <c r="AE26" s="7">
        <f t="shared" si="10"/>
        <v>1.1635706462854338</v>
      </c>
      <c r="AF26" s="10" t="s">
        <v>58</v>
      </c>
      <c r="AG26" s="7">
        <f t="shared" si="11"/>
        <v>2.3271412925708677</v>
      </c>
      <c r="AH26" s="6"/>
    </row>
    <row r="27" spans="2:34" ht="16.8" x14ac:dyDescent="0.35">
      <c r="B27" s="7" t="s">
        <v>4</v>
      </c>
      <c r="C27" s="7">
        <v>2.1999999999999999E-2</v>
      </c>
      <c r="D27" s="7" t="s">
        <v>3</v>
      </c>
      <c r="S27" s="4"/>
      <c r="T27" s="7" t="s">
        <v>23</v>
      </c>
      <c r="U27" s="7">
        <f>$C$10+$C$20*0.7</f>
        <v>16.41</v>
      </c>
      <c r="V27" s="7" t="s">
        <v>27</v>
      </c>
      <c r="W27" s="7">
        <f t="shared" si="6"/>
        <v>294.28809999999999</v>
      </c>
      <c r="X27" s="7" t="s">
        <v>28</v>
      </c>
      <c r="Y27" s="7">
        <f t="shared" si="7"/>
        <v>350.28809999999999</v>
      </c>
      <c r="Z27" s="7" t="s">
        <v>31</v>
      </c>
      <c r="AA27" s="7">
        <f t="shared" si="8"/>
        <v>19.372354012871021</v>
      </c>
      <c r="AB27" s="8" t="s">
        <v>39</v>
      </c>
      <c r="AC27" s="7">
        <f t="shared" si="9"/>
        <v>2.0507049857185216</v>
      </c>
      <c r="AD27" s="9" t="s">
        <v>49</v>
      </c>
      <c r="AE27" s="7">
        <f t="shared" si="10"/>
        <v>1.0561130676450388</v>
      </c>
      <c r="AF27" s="10" t="s">
        <v>59</v>
      </c>
      <c r="AG27" s="7">
        <f t="shared" si="11"/>
        <v>2.1122261352900775</v>
      </c>
      <c r="AH27" s="6"/>
    </row>
    <row r="28" spans="2:34" ht="16.8" x14ac:dyDescent="0.35">
      <c r="B28" s="7" t="s">
        <v>5</v>
      </c>
      <c r="C28" s="7">
        <v>0.27500000000000002</v>
      </c>
      <c r="D28" s="7" t="s">
        <v>6</v>
      </c>
      <c r="S28" s="4"/>
      <c r="T28" s="7" t="s">
        <v>24</v>
      </c>
      <c r="U28" s="7">
        <f>$C$10+$C$20*0.8</f>
        <v>17.439999999999998</v>
      </c>
      <c r="V28" s="7" t="s">
        <v>27</v>
      </c>
      <c r="W28" s="7">
        <f t="shared" si="6"/>
        <v>329.15359999999993</v>
      </c>
      <c r="X28" s="7" t="s">
        <v>28</v>
      </c>
      <c r="Y28" s="7">
        <f t="shared" si="7"/>
        <v>385.15359999999993</v>
      </c>
      <c r="Z28" s="7" t="s">
        <v>31</v>
      </c>
      <c r="AA28" s="7">
        <f t="shared" si="8"/>
        <v>20.2522492577985</v>
      </c>
      <c r="AB28" s="8" t="s">
        <v>40</v>
      </c>
      <c r="AC28" s="7">
        <f t="shared" si="9"/>
        <v>1.867247663457769</v>
      </c>
      <c r="AD28" s="9" t="s">
        <v>50</v>
      </c>
      <c r="AE28" s="7">
        <f t="shared" si="10"/>
        <v>0.96163254668075104</v>
      </c>
      <c r="AF28" s="10" t="s">
        <v>60</v>
      </c>
      <c r="AG28" s="7">
        <f t="shared" si="11"/>
        <v>1.9232650933615021</v>
      </c>
      <c r="AH28" s="6"/>
    </row>
    <row r="29" spans="2:34" ht="16.8" x14ac:dyDescent="0.35">
      <c r="B29" s="7" t="s">
        <v>8</v>
      </c>
      <c r="C29" s="7">
        <v>28</v>
      </c>
      <c r="D29" s="7" t="s">
        <v>7</v>
      </c>
      <c r="S29" s="4"/>
      <c r="T29" s="7" t="s">
        <v>25</v>
      </c>
      <c r="U29" s="7">
        <f>$C$10+$C$20*0.9</f>
        <v>18.47</v>
      </c>
      <c r="V29" s="7" t="s">
        <v>27</v>
      </c>
      <c r="W29" s="7">
        <f t="shared" si="6"/>
        <v>366.14089999999993</v>
      </c>
      <c r="X29" s="7" t="s">
        <v>28</v>
      </c>
      <c r="Y29" s="7">
        <f t="shared" si="7"/>
        <v>422.14089999999993</v>
      </c>
      <c r="Z29" s="7" t="s">
        <v>31</v>
      </c>
      <c r="AA29" s="7">
        <f t="shared" si="8"/>
        <v>21.145706419980392</v>
      </c>
      <c r="AB29" s="8" t="s">
        <v>41</v>
      </c>
      <c r="AC29" s="7">
        <f t="shared" si="9"/>
        <v>1.7054987638532815</v>
      </c>
      <c r="AD29" s="9" t="s">
        <v>51</v>
      </c>
      <c r="AE29" s="7">
        <f t="shared" si="10"/>
        <v>0.87833186338443991</v>
      </c>
      <c r="AF29" s="10" t="s">
        <v>61</v>
      </c>
      <c r="AG29" s="7">
        <f t="shared" si="11"/>
        <v>1.7566637267688798</v>
      </c>
      <c r="AH29" s="6"/>
    </row>
    <row r="30" spans="2:34" ht="16.8" x14ac:dyDescent="0.35">
      <c r="B30" s="7" t="s">
        <v>10</v>
      </c>
      <c r="C30" s="7">
        <f>C29-C20-C10</f>
        <v>8.5</v>
      </c>
      <c r="D30" s="7" t="s">
        <v>7</v>
      </c>
      <c r="S30" s="4"/>
      <c r="T30" s="7" t="s">
        <v>26</v>
      </c>
      <c r="U30" s="7">
        <f>$C$10+$C$20*1</f>
        <v>19.5</v>
      </c>
      <c r="V30" s="7" t="s">
        <v>27</v>
      </c>
      <c r="W30" s="7">
        <f t="shared" si="6"/>
        <v>405.25</v>
      </c>
      <c r="X30" s="7" t="s">
        <v>28</v>
      </c>
      <c r="Y30" s="7">
        <f t="shared" si="7"/>
        <v>461.25</v>
      </c>
      <c r="Z30" s="7" t="s">
        <v>31</v>
      </c>
      <c r="AA30" s="7">
        <f t="shared" si="8"/>
        <v>22.051077071199945</v>
      </c>
      <c r="AB30" s="8" t="s">
        <v>42</v>
      </c>
      <c r="AC30" s="7">
        <f t="shared" si="9"/>
        <v>1.5624651591714454</v>
      </c>
      <c r="AD30" s="9" t="s">
        <v>52</v>
      </c>
      <c r="AE30" s="7">
        <f t="shared" si="10"/>
        <v>0.80466955697329445</v>
      </c>
      <c r="AF30" s="10" t="s">
        <v>62</v>
      </c>
      <c r="AG30" s="7">
        <f t="shared" si="11"/>
        <v>1.6093391139465889</v>
      </c>
      <c r="AH30" s="6"/>
    </row>
    <row r="31" spans="2:34" x14ac:dyDescent="0.3">
      <c r="B31" s="42" t="s">
        <v>102</v>
      </c>
      <c r="C31" s="42"/>
      <c r="D31" s="40">
        <v>2</v>
      </c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">
        <f>AVERAGE(AE21:AE30)</f>
        <v>1.2909524101481209</v>
      </c>
      <c r="AF31" s="5"/>
      <c r="AG31" s="11">
        <f>AVERAGE(AG21:AG30)</f>
        <v>2.5819048202962418</v>
      </c>
      <c r="AH31" s="6"/>
    </row>
    <row r="32" spans="2:34" x14ac:dyDescent="0.3">
      <c r="B32" s="42"/>
      <c r="C32" s="42"/>
      <c r="D32" s="40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</row>
    <row r="33" spans="2:34" x14ac:dyDescent="0.3">
      <c r="B33" s="40"/>
      <c r="C33" s="40"/>
      <c r="D33" s="40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</row>
    <row r="34" spans="2:34" x14ac:dyDescent="0.3">
      <c r="B34" s="40"/>
      <c r="C34" s="40"/>
      <c r="D34" s="40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</row>
    <row r="35" spans="2:34" x14ac:dyDescent="0.3">
      <c r="B35" s="41" t="s">
        <v>12</v>
      </c>
      <c r="C35" s="41"/>
      <c r="D35" s="41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6" spans="2:34" x14ac:dyDescent="0.3">
      <c r="B36" s="7" t="s">
        <v>2</v>
      </c>
      <c r="C36" s="7">
        <v>1.23E-2</v>
      </c>
      <c r="D36" s="7" t="s">
        <v>3</v>
      </c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</row>
    <row r="37" spans="2:34" x14ac:dyDescent="0.3">
      <c r="B37" s="7" t="s">
        <v>4</v>
      </c>
      <c r="C37" s="7">
        <v>2.5000000000000001E-2</v>
      </c>
      <c r="D37" s="7" t="s">
        <v>3</v>
      </c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</row>
    <row r="38" spans="2:34" x14ac:dyDescent="0.3">
      <c r="B38" s="7" t="s">
        <v>5</v>
      </c>
      <c r="C38" s="7">
        <v>0.29699999999999999</v>
      </c>
      <c r="D38" s="7" t="s">
        <v>6</v>
      </c>
      <c r="S38" s="4"/>
      <c r="T38" s="47" t="s">
        <v>64</v>
      </c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6"/>
    </row>
    <row r="39" spans="2:34" x14ac:dyDescent="0.3">
      <c r="B39" s="7" t="s">
        <v>8</v>
      </c>
      <c r="C39" s="7">
        <v>35</v>
      </c>
      <c r="D39" s="7" t="s">
        <v>7</v>
      </c>
      <c r="S39" s="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"/>
    </row>
    <row r="40" spans="2:34" ht="16.8" customHeight="1" x14ac:dyDescent="0.35">
      <c r="B40" s="7" t="s">
        <v>10</v>
      </c>
      <c r="C40" s="7">
        <v>7</v>
      </c>
      <c r="D40" s="7" t="s">
        <v>7</v>
      </c>
      <c r="F40" s="61" t="s">
        <v>66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S40" s="4"/>
      <c r="T40" s="7" t="s">
        <v>17</v>
      </c>
      <c r="U40" s="7">
        <f>$C$20+$C$10+$C$30*0.1</f>
        <v>20.350000000000001</v>
      </c>
      <c r="V40" s="7" t="s">
        <v>27</v>
      </c>
      <c r="W40" s="7">
        <f>($H$4/2)^2+(U40^2)</f>
        <v>439.12250000000006</v>
      </c>
      <c r="X40" s="7" t="s">
        <v>28</v>
      </c>
      <c r="Y40" s="7">
        <f>($H$5/2)^2+U40^2</f>
        <v>495.12250000000006</v>
      </c>
      <c r="Z40" s="7" t="s">
        <v>30</v>
      </c>
      <c r="AA40" s="7">
        <f>SQRT(($H$4/2)^2+($H$5/2)^2+U40^2)</f>
        <v>22.806194333996192</v>
      </c>
      <c r="AB40" s="8" t="s">
        <v>33</v>
      </c>
      <c r="AC40" s="7">
        <f>(($H$8/(2*PI()))*(ATAN(($H$5/2)*($H$4/2)/(U40*AA40))+(($H$5/2)*($H$4/2)*U40/AA40)*((1/W40)+(1/Y40))))*4</f>
        <v>1.4566979480597217</v>
      </c>
      <c r="AD40" s="9" t="s">
        <v>43</v>
      </c>
      <c r="AE40" s="7">
        <f>(AC40/10)*($C$30*100)*$C$26</f>
        <v>1.4858319070209161</v>
      </c>
      <c r="AF40" s="10" t="s">
        <v>53</v>
      </c>
      <c r="AG40" s="7">
        <f>(AC40/10)*($C$30*100)*$C$27</f>
        <v>2.7240251628716794</v>
      </c>
      <c r="AH40" s="6"/>
    </row>
    <row r="41" spans="2:34" ht="16.8" customHeight="1" x14ac:dyDescent="0.35">
      <c r="B41" s="42" t="s">
        <v>101</v>
      </c>
      <c r="C41" s="42"/>
      <c r="D41" s="40">
        <v>2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S41" s="4"/>
      <c r="T41" s="7" t="s">
        <v>18</v>
      </c>
      <c r="U41" s="7">
        <f>+$C$10+$C$20+$C$30*0.2</f>
        <v>21.2</v>
      </c>
      <c r="V41" s="7" t="s">
        <v>27</v>
      </c>
      <c r="W41" s="7">
        <f t="shared" ref="W41:W49" si="12">($H$4/2)^2+(U41^2)</f>
        <v>474.44</v>
      </c>
      <c r="X41" s="7" t="s">
        <v>28</v>
      </c>
      <c r="Y41" s="7">
        <f t="shared" ref="Y41:Y49" si="13">($H$5/2)^2+U41^2</f>
        <v>530.44000000000005</v>
      </c>
      <c r="Z41" s="7" t="s">
        <v>30</v>
      </c>
      <c r="AA41" s="7">
        <f t="shared" ref="AA41:AA49" si="14">SQRT(($H$4/2)^2+($H$5/2)^2+U41^2)</f>
        <v>23.567774608562431</v>
      </c>
      <c r="AB41" s="8" t="s">
        <v>34</v>
      </c>
      <c r="AC41" s="7">
        <f>(($H$8/(2*PI()))*(ATAN(($H$5/2)*($H$4/2)/(U41*AA41))+(($H$5/2)*($H$4/2)*U41/AA41)*((1/W41)+(1/Y41))))*4</f>
        <v>1.360688946906575</v>
      </c>
      <c r="AD41" s="9" t="s">
        <v>44</v>
      </c>
      <c r="AE41" s="7">
        <f t="shared" ref="AE41:AE49" si="15">(AC41/10)*($C$30*100)*$C$26</f>
        <v>1.3879027258447065</v>
      </c>
      <c r="AF41" s="10" t="s">
        <v>54</v>
      </c>
      <c r="AG41" s="7">
        <f t="shared" ref="AG41:AG49" si="16">(AC41/10)*($C$30*100)*$C$27</f>
        <v>2.544488330715295</v>
      </c>
      <c r="AH41" s="6"/>
    </row>
    <row r="42" spans="2:34" ht="17.399999999999999" customHeight="1" thickBot="1" x14ac:dyDescent="0.4">
      <c r="B42" s="42"/>
      <c r="C42" s="42"/>
      <c r="D42" s="40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S42" s="4"/>
      <c r="T42" s="7" t="s">
        <v>19</v>
      </c>
      <c r="U42" s="7">
        <f>$C$10+$C$20+$C$30*0.3</f>
        <v>22.05</v>
      </c>
      <c r="V42" s="7" t="s">
        <v>27</v>
      </c>
      <c r="W42" s="7">
        <f t="shared" si="12"/>
        <v>511.20250000000004</v>
      </c>
      <c r="X42" s="7" t="s">
        <v>28</v>
      </c>
      <c r="Y42" s="7">
        <f t="shared" si="13"/>
        <v>567.2025000000001</v>
      </c>
      <c r="Z42" s="7" t="s">
        <v>31</v>
      </c>
      <c r="AA42" s="7">
        <f t="shared" si="14"/>
        <v>24.335211114761261</v>
      </c>
      <c r="AB42" s="8" t="s">
        <v>35</v>
      </c>
      <c r="AC42" s="7">
        <f t="shared" ref="AC42:AC49" si="17">(($H$8/(2*PI()))*(ATAN(($H$5/2)*($H$4/2)/(U42*AA42))+(($H$5/2)*($H$4/2)*U42/AA42)*((1/W42)+(1/Y42))))*4</f>
        <v>1.2733522663136274</v>
      </c>
      <c r="AD42" s="9" t="s">
        <v>45</v>
      </c>
      <c r="AE42" s="7">
        <f t="shared" si="15"/>
        <v>1.2988193116399001</v>
      </c>
      <c r="AF42" s="10" t="s">
        <v>55</v>
      </c>
      <c r="AG42" s="7">
        <f t="shared" si="16"/>
        <v>2.3811687380064832</v>
      </c>
      <c r="AH42" s="6"/>
    </row>
    <row r="43" spans="2:34" ht="17.399999999999999" thickBot="1" x14ac:dyDescent="0.4">
      <c r="F43" s="55" t="s">
        <v>67</v>
      </c>
      <c r="G43" s="56"/>
      <c r="H43" s="56"/>
      <c r="I43" s="56"/>
      <c r="J43" s="56"/>
      <c r="K43" s="57"/>
      <c r="L43" s="58" t="s">
        <v>89</v>
      </c>
      <c r="M43" s="59"/>
      <c r="N43" s="59"/>
      <c r="O43" s="59"/>
      <c r="P43" s="59"/>
      <c r="Q43" s="60"/>
      <c r="S43" s="4"/>
      <c r="T43" s="7" t="s">
        <v>20</v>
      </c>
      <c r="U43" s="7">
        <f>+$C$10+$C$20+$C$30*0.4</f>
        <v>22.9</v>
      </c>
      <c r="V43" s="7" t="s">
        <v>27</v>
      </c>
      <c r="W43" s="7">
        <f t="shared" si="12"/>
        <v>549.41</v>
      </c>
      <c r="X43" s="7" t="s">
        <v>28</v>
      </c>
      <c r="Y43" s="7">
        <f t="shared" si="13"/>
        <v>605.41</v>
      </c>
      <c r="Z43" s="7" t="s">
        <v>31</v>
      </c>
      <c r="AA43" s="7">
        <f t="shared" si="14"/>
        <v>25.10796686312932</v>
      </c>
      <c r="AB43" s="8" t="s">
        <v>36</v>
      </c>
      <c r="AC43" s="7">
        <f t="shared" si="17"/>
        <v>1.1937367565439918</v>
      </c>
      <c r="AD43" s="9" t="s">
        <v>46</v>
      </c>
      <c r="AE43" s="7">
        <f t="shared" si="15"/>
        <v>1.2176114916748717</v>
      </c>
      <c r="AF43" s="10" t="s">
        <v>56</v>
      </c>
      <c r="AG43" s="7">
        <f t="shared" si="16"/>
        <v>2.2322877347372647</v>
      </c>
      <c r="AH43" s="6"/>
    </row>
    <row r="44" spans="2:34" ht="17.399999999999999" thickBot="1" x14ac:dyDescent="0.4">
      <c r="F44" s="19" t="s">
        <v>87</v>
      </c>
      <c r="G44" s="20" t="s">
        <v>90</v>
      </c>
      <c r="H44" s="20" t="s">
        <v>92</v>
      </c>
      <c r="I44" s="20" t="s">
        <v>93</v>
      </c>
      <c r="J44" s="20" t="s">
        <v>88</v>
      </c>
      <c r="K44" s="21" t="s">
        <v>104</v>
      </c>
      <c r="L44" s="19" t="s">
        <v>87</v>
      </c>
      <c r="M44" s="20"/>
      <c r="N44" s="20" t="s">
        <v>92</v>
      </c>
      <c r="O44" s="20" t="s">
        <v>93</v>
      </c>
      <c r="P44" s="20" t="s">
        <v>88</v>
      </c>
      <c r="Q44" s="21" t="s">
        <v>104</v>
      </c>
      <c r="S44" s="4"/>
      <c r="T44" s="7" t="s">
        <v>21</v>
      </c>
      <c r="U44" s="7">
        <f>+$C$10+$C$20+$C$30*0.5</f>
        <v>23.75</v>
      </c>
      <c r="V44" s="7" t="s">
        <v>27</v>
      </c>
      <c r="W44" s="7">
        <f t="shared" si="12"/>
        <v>589.0625</v>
      </c>
      <c r="X44" s="7" t="s">
        <v>28</v>
      </c>
      <c r="Y44" s="7">
        <f t="shared" si="13"/>
        <v>645.0625</v>
      </c>
      <c r="Z44" s="7" t="s">
        <v>31</v>
      </c>
      <c r="AA44" s="7">
        <f t="shared" si="14"/>
        <v>25.885565475762743</v>
      </c>
      <c r="AB44" s="8" t="s">
        <v>37</v>
      </c>
      <c r="AC44" s="7">
        <f t="shared" si="17"/>
        <v>1.1210087236592163</v>
      </c>
      <c r="AD44" s="9" t="s">
        <v>47</v>
      </c>
      <c r="AE44" s="7">
        <f t="shared" si="15"/>
        <v>1.1434288981324006</v>
      </c>
      <c r="AF44" s="10" t="s">
        <v>57</v>
      </c>
      <c r="AG44" s="7">
        <f t="shared" si="16"/>
        <v>2.0962863132427341</v>
      </c>
      <c r="AH44" s="6"/>
    </row>
    <row r="45" spans="2:34" ht="16.8" x14ac:dyDescent="0.35">
      <c r="B45" s="53" t="s">
        <v>98</v>
      </c>
      <c r="C45" s="53"/>
      <c r="D45" s="53"/>
      <c r="F45" s="22" t="s">
        <v>68</v>
      </c>
      <c r="G45" s="23">
        <v>0</v>
      </c>
      <c r="H45" s="23">
        <f>0</f>
        <v>0</v>
      </c>
      <c r="I45" s="23">
        <v>0</v>
      </c>
      <c r="J45" s="23">
        <v>0</v>
      </c>
      <c r="K45" s="24">
        <f>$AG$15*0</f>
        <v>0</v>
      </c>
      <c r="L45" s="22" t="s">
        <v>68</v>
      </c>
      <c r="M45" s="23"/>
      <c r="N45" s="23">
        <f>0</f>
        <v>0</v>
      </c>
      <c r="O45" s="23">
        <v>0</v>
      </c>
      <c r="P45" s="23">
        <v>0</v>
      </c>
      <c r="Q45" s="24">
        <f>$AG$31*0</f>
        <v>0</v>
      </c>
      <c r="S45" s="4"/>
      <c r="T45" s="7" t="s">
        <v>22</v>
      </c>
      <c r="U45" s="7">
        <f>+$C$10+$C$20+$C$30*0.6</f>
        <v>24.6</v>
      </c>
      <c r="V45" s="7" t="s">
        <v>27</v>
      </c>
      <c r="W45" s="7">
        <f t="shared" si="12"/>
        <v>630.16000000000008</v>
      </c>
      <c r="X45" s="7" t="s">
        <v>28</v>
      </c>
      <c r="Y45" s="7">
        <f t="shared" si="13"/>
        <v>686.16000000000008</v>
      </c>
      <c r="Z45" s="7" t="s">
        <v>31</v>
      </c>
      <c r="AA45" s="7">
        <f t="shared" si="14"/>
        <v>26.667583317578668</v>
      </c>
      <c r="AB45" s="8" t="s">
        <v>38</v>
      </c>
      <c r="AC45" s="7">
        <f t="shared" si="17"/>
        <v>1.0544366602753459</v>
      </c>
      <c r="AD45" s="9" t="s">
        <v>48</v>
      </c>
      <c r="AE45" s="7">
        <f t="shared" si="15"/>
        <v>1.0755253934808529</v>
      </c>
      <c r="AF45" s="10" t="s">
        <v>58</v>
      </c>
      <c r="AG45" s="7">
        <f t="shared" si="16"/>
        <v>1.9717965547148968</v>
      </c>
      <c r="AH45" s="6"/>
    </row>
    <row r="46" spans="2:34" ht="16.8" x14ac:dyDescent="0.35">
      <c r="B46" s="54" t="s">
        <v>96</v>
      </c>
      <c r="C46" s="54"/>
      <c r="D46" s="25" t="s">
        <v>97</v>
      </c>
      <c r="F46" s="26" t="s">
        <v>69</v>
      </c>
      <c r="G46" s="7">
        <v>8.0000000000000002E-3</v>
      </c>
      <c r="H46" s="7">
        <f t="shared" ref="H46:H63" si="18">(G46*IF($D$11=2,(($C$10*100)/2)^2,IF($D$11=1,($C$10*100)^2,"")))/$C$8</f>
        <v>11323.07692307692</v>
      </c>
      <c r="I46" s="7">
        <f>H46/24</f>
        <v>471.79487179487165</v>
      </c>
      <c r="J46" s="7">
        <f>I46/365</f>
        <v>1.2925886898489634</v>
      </c>
      <c r="K46" s="27">
        <f>$AG$15*0.1</f>
        <v>0.18799532758880502</v>
      </c>
      <c r="L46" s="26" t="s">
        <v>69</v>
      </c>
      <c r="M46" s="7">
        <v>8.0000000000000002E-3</v>
      </c>
      <c r="N46" s="7">
        <f>(M46*IF($D$21=2,(($C$20*100)/2)^2,IF($D$21=1,($C$20*100)^2,"")))/$C$18</f>
        <v>2755.5844155844156</v>
      </c>
      <c r="O46" s="7">
        <f>N46/24</f>
        <v>114.81601731601732</v>
      </c>
      <c r="P46" s="7">
        <f>O46/365</f>
        <v>0.31456443100278719</v>
      </c>
      <c r="Q46" s="27">
        <f>$AG$31*0.1</f>
        <v>0.25819048202962419</v>
      </c>
      <c r="S46" s="4"/>
      <c r="T46" s="7" t="s">
        <v>23</v>
      </c>
      <c r="U46" s="7">
        <f>+$C$10+$C$20+$C$30*0.7</f>
        <v>25.45</v>
      </c>
      <c r="V46" s="7" t="s">
        <v>27</v>
      </c>
      <c r="W46" s="7">
        <f t="shared" si="12"/>
        <v>672.70249999999999</v>
      </c>
      <c r="X46" s="7" t="s">
        <v>28</v>
      </c>
      <c r="Y46" s="7">
        <f t="shared" si="13"/>
        <v>728.70249999999999</v>
      </c>
      <c r="Z46" s="7" t="s">
        <v>31</v>
      </c>
      <c r="AA46" s="7">
        <f t="shared" si="14"/>
        <v>27.453642745544716</v>
      </c>
      <c r="AB46" s="8" t="s">
        <v>39</v>
      </c>
      <c r="AC46" s="7">
        <f t="shared" si="17"/>
        <v>0.99337787136009492</v>
      </c>
      <c r="AD46" s="9" t="s">
        <v>49</v>
      </c>
      <c r="AE46" s="7">
        <f t="shared" si="15"/>
        <v>1.013245428787297</v>
      </c>
      <c r="AF46" s="10" t="s">
        <v>59</v>
      </c>
      <c r="AG46" s="7">
        <f t="shared" si="16"/>
        <v>1.8576166194433774</v>
      </c>
      <c r="AH46" s="6"/>
    </row>
    <row r="47" spans="2:34" ht="16.8" x14ac:dyDescent="0.35">
      <c r="B47" s="7">
        <f t="shared" ref="B47:B56" si="19">U5</f>
        <v>0.91999999999999993</v>
      </c>
      <c r="C47" s="7">
        <f>B47*-1</f>
        <v>-0.91999999999999993</v>
      </c>
      <c r="D47" s="7">
        <f t="shared" ref="D47:D56" si="20">AC5</f>
        <v>8.4763660902842606</v>
      </c>
      <c r="F47" s="26" t="s">
        <v>70</v>
      </c>
      <c r="G47" s="7">
        <v>1.7999999999999999E-2</v>
      </c>
      <c r="H47" s="7">
        <f t="shared" si="18"/>
        <v>25476.923076923071</v>
      </c>
      <c r="I47" s="7">
        <f t="shared" ref="I47:I63" si="21">H47/24</f>
        <v>1061.5384615384612</v>
      </c>
      <c r="J47" s="7">
        <f t="shared" ref="J47:J63" si="22">I47/365</f>
        <v>2.9083245521601677</v>
      </c>
      <c r="K47" s="27">
        <f>$AG$15*0.15</f>
        <v>0.28199299138320749</v>
      </c>
      <c r="L47" s="26" t="s">
        <v>70</v>
      </c>
      <c r="M47" s="7">
        <v>1.7999999999999999E-2</v>
      </c>
      <c r="N47" s="7">
        <f>(M47*IF($D$21=2,(($C$20*100)/2)^2,IF($D$21=1,($C$20*100)^2,"")))/$C$18</f>
        <v>6200.0649350649337</v>
      </c>
      <c r="O47" s="7">
        <f t="shared" ref="O47:O63" si="23">N47/24</f>
        <v>258.33603896103892</v>
      </c>
      <c r="P47" s="7">
        <f t="shared" ref="P47:P63" si="24">O47/365</f>
        <v>0.70776996975627104</v>
      </c>
      <c r="Q47" s="27">
        <f>$AG$31*0.15</f>
        <v>0.38728572304443626</v>
      </c>
      <c r="S47" s="4"/>
      <c r="T47" s="7" t="s">
        <v>24</v>
      </c>
      <c r="U47" s="7">
        <f>+$C$10+$C$20+$C$30*0.8</f>
        <v>26.3</v>
      </c>
      <c r="V47" s="7" t="s">
        <v>27</v>
      </c>
      <c r="W47" s="7">
        <f t="shared" si="12"/>
        <v>716.69</v>
      </c>
      <c r="X47" s="7" t="s">
        <v>28</v>
      </c>
      <c r="Y47" s="7">
        <f t="shared" si="13"/>
        <v>772.69</v>
      </c>
      <c r="Z47" s="7" t="s">
        <v>31</v>
      </c>
      <c r="AA47" s="7">
        <f t="shared" si="14"/>
        <v>28.243406310146092</v>
      </c>
      <c r="AB47" s="8" t="s">
        <v>40</v>
      </c>
      <c r="AC47" s="7">
        <f t="shared" si="17"/>
        <v>0.93726682853940546</v>
      </c>
      <c r="AD47" s="9" t="s">
        <v>50</v>
      </c>
      <c r="AE47" s="7">
        <f t="shared" si="15"/>
        <v>0.9560121651101936</v>
      </c>
      <c r="AF47" s="10" t="s">
        <v>60</v>
      </c>
      <c r="AG47" s="7">
        <f t="shared" si="16"/>
        <v>1.7526889693686882</v>
      </c>
      <c r="AH47" s="6"/>
    </row>
    <row r="48" spans="2:34" ht="16.8" x14ac:dyDescent="0.35">
      <c r="B48" s="7">
        <f t="shared" si="19"/>
        <v>1.8399999999999999</v>
      </c>
      <c r="C48" s="7">
        <f t="shared" ref="C48:C86" si="25">B48*-1</f>
        <v>-1.8399999999999999</v>
      </c>
      <c r="D48" s="7">
        <f t="shared" si="20"/>
        <v>8.3301345090034467</v>
      </c>
      <c r="F48" s="26" t="s">
        <v>71</v>
      </c>
      <c r="G48" s="7">
        <v>3.1E-2</v>
      </c>
      <c r="H48" s="7">
        <f t="shared" si="18"/>
        <v>43876.923076923071</v>
      </c>
      <c r="I48" s="7">
        <f t="shared" si="21"/>
        <v>1828.2051282051279</v>
      </c>
      <c r="J48" s="7">
        <f t="shared" si="22"/>
        <v>5.008781173164734</v>
      </c>
      <c r="K48" s="27">
        <f>$AG$15*0.2</f>
        <v>0.37599065517761004</v>
      </c>
      <c r="L48" s="26" t="s">
        <v>71</v>
      </c>
      <c r="M48" s="7">
        <v>3.1E-2</v>
      </c>
      <c r="N48" s="7">
        <f t="shared" ref="N48:N63" si="26">(M48*IF($D$21=2,(($C$20*100)/2)^2,IF($D$21=1,($C$20*100)^2,"")))/$C$18</f>
        <v>10677.889610389611</v>
      </c>
      <c r="O48" s="7">
        <f t="shared" si="23"/>
        <v>444.91206709956714</v>
      </c>
      <c r="P48" s="7">
        <f t="shared" si="24"/>
        <v>1.2189371701358003</v>
      </c>
      <c r="Q48" s="27">
        <f>$AG$31*0.2</f>
        <v>0.51638096405924838</v>
      </c>
      <c r="S48" s="4"/>
      <c r="T48" s="7" t="s">
        <v>25</v>
      </c>
      <c r="U48" s="7">
        <f>$C$10+$C$20+$C$30*0.9</f>
        <v>27.15</v>
      </c>
      <c r="V48" s="7" t="s">
        <v>27</v>
      </c>
      <c r="W48" s="7">
        <f t="shared" si="12"/>
        <v>762.12249999999995</v>
      </c>
      <c r="X48" s="7" t="s">
        <v>28</v>
      </c>
      <c r="Y48" s="7">
        <f t="shared" si="13"/>
        <v>818.12249999999995</v>
      </c>
      <c r="Z48" s="7" t="s">
        <v>31</v>
      </c>
      <c r="AA48" s="7">
        <f t="shared" si="14"/>
        <v>29.036571767341957</v>
      </c>
      <c r="AB48" s="8" t="s">
        <v>41</v>
      </c>
      <c r="AC48" s="7">
        <f t="shared" si="17"/>
        <v>0.88560506950984463</v>
      </c>
      <c r="AD48" s="9" t="s">
        <v>51</v>
      </c>
      <c r="AE48" s="7">
        <f t="shared" si="15"/>
        <v>0.90331717090004149</v>
      </c>
      <c r="AF48" s="10" t="s">
        <v>61</v>
      </c>
      <c r="AG48" s="7">
        <f t="shared" si="16"/>
        <v>1.6560814799834094</v>
      </c>
      <c r="AH48" s="6"/>
    </row>
    <row r="49" spans="2:34" ht="16.8" x14ac:dyDescent="0.35">
      <c r="B49" s="7">
        <f t="shared" si="19"/>
        <v>2.76</v>
      </c>
      <c r="C49" s="7">
        <f t="shared" si="25"/>
        <v>-2.76</v>
      </c>
      <c r="D49" s="7">
        <f t="shared" si="20"/>
        <v>8.0113616912127519</v>
      </c>
      <c r="F49" s="26" t="s">
        <v>72</v>
      </c>
      <c r="G49" s="7">
        <v>4.9000000000000002E-2</v>
      </c>
      <c r="H49" s="7">
        <f t="shared" si="18"/>
        <v>69353.846153846142</v>
      </c>
      <c r="I49" s="7">
        <f t="shared" si="21"/>
        <v>2889.7435897435894</v>
      </c>
      <c r="J49" s="7">
        <f t="shared" si="22"/>
        <v>7.9171057253249026</v>
      </c>
      <c r="K49" s="27">
        <f>$AG$15*0.25</f>
        <v>0.46998831897201254</v>
      </c>
      <c r="L49" s="26" t="s">
        <v>72</v>
      </c>
      <c r="M49" s="7">
        <v>4.9000000000000002E-2</v>
      </c>
      <c r="N49" s="7">
        <f t="shared" si="26"/>
        <v>16877.954545454544</v>
      </c>
      <c r="O49" s="7">
        <f t="shared" si="23"/>
        <v>703.24810606060601</v>
      </c>
      <c r="P49" s="7">
        <f t="shared" si="24"/>
        <v>1.9267071398920712</v>
      </c>
      <c r="Q49" s="27">
        <f>$AG$31*0.25</f>
        <v>0.64547620507406045</v>
      </c>
      <c r="S49" s="4"/>
      <c r="T49" s="7" t="s">
        <v>26</v>
      </c>
      <c r="U49" s="7">
        <f>+$C$10+$C$20+$C$30*1</f>
        <v>28</v>
      </c>
      <c r="V49" s="7" t="s">
        <v>27</v>
      </c>
      <c r="W49" s="7">
        <f t="shared" si="12"/>
        <v>809</v>
      </c>
      <c r="X49" s="7" t="s">
        <v>28</v>
      </c>
      <c r="Y49" s="7">
        <f t="shared" si="13"/>
        <v>865</v>
      </c>
      <c r="Z49" s="7" t="s">
        <v>31</v>
      </c>
      <c r="AA49" s="7">
        <f t="shared" si="14"/>
        <v>29.832867780352597</v>
      </c>
      <c r="AB49" s="8" t="s">
        <v>42</v>
      </c>
      <c r="AC49" s="7">
        <f t="shared" si="17"/>
        <v>0.83795245980975441</v>
      </c>
      <c r="AD49" s="9" t="s">
        <v>52</v>
      </c>
      <c r="AE49" s="7">
        <f t="shared" si="15"/>
        <v>0.8547115090059495</v>
      </c>
      <c r="AF49" s="10" t="s">
        <v>62</v>
      </c>
      <c r="AG49" s="7">
        <f t="shared" si="16"/>
        <v>1.5669710998442405</v>
      </c>
      <c r="AH49" s="6"/>
    </row>
    <row r="50" spans="2:34" x14ac:dyDescent="0.3">
      <c r="B50" s="7">
        <f t="shared" si="19"/>
        <v>3.6799999999999997</v>
      </c>
      <c r="C50" s="7">
        <f t="shared" si="25"/>
        <v>-3.6799999999999997</v>
      </c>
      <c r="D50" s="7">
        <f t="shared" si="20"/>
        <v>7.5455460943479187</v>
      </c>
      <c r="F50" s="26" t="s">
        <v>73</v>
      </c>
      <c r="G50" s="7">
        <v>7.0999999999999994E-2</v>
      </c>
      <c r="H50" s="7">
        <f t="shared" si="18"/>
        <v>100492.30769230766</v>
      </c>
      <c r="I50" s="7">
        <f t="shared" si="21"/>
        <v>4187.1794871794855</v>
      </c>
      <c r="J50" s="7">
        <f t="shared" si="22"/>
        <v>11.47172462240955</v>
      </c>
      <c r="K50" s="27">
        <f>$AG$15*0.3</f>
        <v>0.56398598276641498</v>
      </c>
      <c r="L50" s="26" t="s">
        <v>73</v>
      </c>
      <c r="M50" s="7">
        <v>7.0999999999999994E-2</v>
      </c>
      <c r="N50" s="7">
        <f t="shared" si="26"/>
        <v>24455.811688311685</v>
      </c>
      <c r="O50" s="7">
        <f t="shared" si="23"/>
        <v>1018.9921536796536</v>
      </c>
      <c r="P50" s="7">
        <f t="shared" si="24"/>
        <v>2.7917593251497359</v>
      </c>
      <c r="Q50" s="27">
        <f>$AG$31*0.3</f>
        <v>0.77457144608887252</v>
      </c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1">
        <f>AVERAGE(AE40:AE49)</f>
        <v>1.1336406001597132</v>
      </c>
      <c r="AF50" s="5"/>
      <c r="AG50" s="11">
        <f>AVERAGE(AG40:AG49)</f>
        <v>2.0783411002928069</v>
      </c>
      <c r="AH50" s="6"/>
    </row>
    <row r="51" spans="2:34" x14ac:dyDescent="0.3">
      <c r="B51" s="7">
        <f t="shared" si="19"/>
        <v>4.5999999999999996</v>
      </c>
      <c r="C51" s="7">
        <f t="shared" si="25"/>
        <v>-4.5999999999999996</v>
      </c>
      <c r="D51" s="7">
        <f t="shared" si="20"/>
        <v>6.9910315779483225</v>
      </c>
      <c r="F51" s="26" t="s">
        <v>74</v>
      </c>
      <c r="G51" s="7">
        <v>9.6000000000000002E-2</v>
      </c>
      <c r="H51" s="7">
        <f t="shared" si="18"/>
        <v>135876.92307692303</v>
      </c>
      <c r="I51" s="7">
        <f t="shared" si="21"/>
        <v>5661.5384615384601</v>
      </c>
      <c r="J51" s="7">
        <f t="shared" si="22"/>
        <v>15.511064278187561</v>
      </c>
      <c r="K51" s="27">
        <f>$AG$15*0.35</f>
        <v>0.65798364656081754</v>
      </c>
      <c r="L51" s="26" t="s">
        <v>74</v>
      </c>
      <c r="M51" s="7">
        <v>9.6000000000000002E-2</v>
      </c>
      <c r="N51" s="7">
        <f t="shared" si="26"/>
        <v>33067.012987012989</v>
      </c>
      <c r="O51" s="7">
        <f t="shared" si="23"/>
        <v>1377.7922077922078</v>
      </c>
      <c r="P51" s="7">
        <f t="shared" si="24"/>
        <v>3.7747731720334459</v>
      </c>
      <c r="Q51" s="27">
        <f>$AG$31*0.35</f>
        <v>0.90366668710368458</v>
      </c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</row>
    <row r="52" spans="2:34" x14ac:dyDescent="0.3">
      <c r="B52" s="7">
        <f t="shared" si="19"/>
        <v>5.52</v>
      </c>
      <c r="C52" s="7">
        <f t="shared" si="25"/>
        <v>-5.52</v>
      </c>
      <c r="D52" s="7">
        <f t="shared" si="20"/>
        <v>6.4034517803899522</v>
      </c>
      <c r="F52" s="26" t="s">
        <v>75</v>
      </c>
      <c r="G52" s="7">
        <v>0.126</v>
      </c>
      <c r="H52" s="7">
        <f t="shared" si="18"/>
        <v>178338.46153846147</v>
      </c>
      <c r="I52" s="7">
        <f t="shared" si="21"/>
        <v>7430.7692307692278</v>
      </c>
      <c r="J52" s="7">
        <f t="shared" si="22"/>
        <v>20.358271865121171</v>
      </c>
      <c r="K52" s="27">
        <f>$AG$15*0.4</f>
        <v>0.75198131035522009</v>
      </c>
      <c r="L52" s="26" t="s">
        <v>75</v>
      </c>
      <c r="M52" s="7">
        <v>0.126</v>
      </c>
      <c r="N52" s="7">
        <f t="shared" si="26"/>
        <v>43400.454545454544</v>
      </c>
      <c r="O52" s="7">
        <f t="shared" si="23"/>
        <v>1808.3522727272727</v>
      </c>
      <c r="P52" s="7">
        <f t="shared" si="24"/>
        <v>4.9543897882938976</v>
      </c>
      <c r="Q52" s="27">
        <f>$AG$31*0.4</f>
        <v>1.0327619281184968</v>
      </c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</row>
    <row r="53" spans="2:34" x14ac:dyDescent="0.3">
      <c r="B53" s="7">
        <f t="shared" si="19"/>
        <v>6.4399999999999995</v>
      </c>
      <c r="C53" s="7">
        <f t="shared" si="25"/>
        <v>-6.4399999999999995</v>
      </c>
      <c r="D53" s="7">
        <f t="shared" si="20"/>
        <v>5.8224257127250167</v>
      </c>
      <c r="F53" s="26" t="s">
        <v>78</v>
      </c>
      <c r="G53" s="7">
        <v>0.159</v>
      </c>
      <c r="H53" s="7">
        <f t="shared" si="18"/>
        <v>225046.15384615381</v>
      </c>
      <c r="I53" s="7">
        <f t="shared" si="21"/>
        <v>9376.9230769230762</v>
      </c>
      <c r="J53" s="7">
        <f t="shared" si="22"/>
        <v>25.690200210748156</v>
      </c>
      <c r="K53" s="27">
        <f>$AG$15*0.45</f>
        <v>0.84597897414962264</v>
      </c>
      <c r="L53" s="26" t="s">
        <v>78</v>
      </c>
      <c r="M53" s="7">
        <v>0.159</v>
      </c>
      <c r="N53" s="7">
        <f t="shared" si="26"/>
        <v>54767.240259740262</v>
      </c>
      <c r="O53" s="7">
        <f t="shared" si="23"/>
        <v>2281.9683441558441</v>
      </c>
      <c r="P53" s="7">
        <f t="shared" si="24"/>
        <v>6.2519680661803951</v>
      </c>
      <c r="Q53" s="27">
        <f>$AG$31*0.45</f>
        <v>1.1618571691333088</v>
      </c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</row>
    <row r="54" spans="2:34" x14ac:dyDescent="0.3">
      <c r="B54" s="7">
        <f t="shared" si="19"/>
        <v>7.3599999999999994</v>
      </c>
      <c r="C54" s="7">
        <f t="shared" si="25"/>
        <v>-7.3599999999999994</v>
      </c>
      <c r="D54" s="7">
        <f t="shared" si="20"/>
        <v>5.2716786959353374</v>
      </c>
      <c r="F54" s="26" t="s">
        <v>76</v>
      </c>
      <c r="G54" s="7">
        <v>0.19700000000000001</v>
      </c>
      <c r="H54" s="7">
        <f t="shared" si="18"/>
        <v>278830.76923076919</v>
      </c>
      <c r="I54" s="7">
        <f t="shared" si="21"/>
        <v>11617.948717948717</v>
      </c>
      <c r="J54" s="7">
        <f t="shared" si="22"/>
        <v>31.829996487530732</v>
      </c>
      <c r="K54" s="27">
        <f>$AG$15*0.5</f>
        <v>0.93997663794402508</v>
      </c>
      <c r="L54" s="26" t="s">
        <v>76</v>
      </c>
      <c r="M54" s="7">
        <v>0.19700000000000001</v>
      </c>
      <c r="N54" s="7">
        <f t="shared" si="26"/>
        <v>67856.266233766233</v>
      </c>
      <c r="O54" s="7">
        <f t="shared" si="23"/>
        <v>2827.3444264069262</v>
      </c>
      <c r="P54" s="7">
        <f t="shared" si="24"/>
        <v>7.7461491134436331</v>
      </c>
      <c r="Q54" s="27">
        <f>$AG$31*0.5</f>
        <v>1.2909524101481209</v>
      </c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</row>
    <row r="55" spans="2:34" x14ac:dyDescent="0.3">
      <c r="B55" s="7">
        <f t="shared" si="19"/>
        <v>8.2799999999999994</v>
      </c>
      <c r="C55" s="7">
        <f t="shared" si="25"/>
        <v>-8.2799999999999994</v>
      </c>
      <c r="D55" s="7">
        <f t="shared" si="20"/>
        <v>4.7632694222292233</v>
      </c>
      <c r="F55" s="26" t="s">
        <v>79</v>
      </c>
      <c r="G55" s="7">
        <v>0.23799999999999999</v>
      </c>
      <c r="H55" s="7">
        <f t="shared" si="18"/>
        <v>336861.53846153832</v>
      </c>
      <c r="I55" s="7">
        <f t="shared" si="21"/>
        <v>14035.89743589743</v>
      </c>
      <c r="J55" s="7">
        <f t="shared" si="22"/>
        <v>38.454513523006661</v>
      </c>
      <c r="K55" s="27">
        <f>$AG$15*0.55</f>
        <v>1.0339743017384277</v>
      </c>
      <c r="L55" s="26" t="s">
        <v>79</v>
      </c>
      <c r="M55" s="7">
        <v>0.23799999999999999</v>
      </c>
      <c r="N55" s="7">
        <f t="shared" si="26"/>
        <v>81978.636363636353</v>
      </c>
      <c r="O55" s="7">
        <f t="shared" si="23"/>
        <v>3415.7765151515146</v>
      </c>
      <c r="P55" s="7">
        <f t="shared" si="24"/>
        <v>9.3582918223329159</v>
      </c>
      <c r="Q55" s="27">
        <f>$AG$31*0.55</f>
        <v>1.4200476511629332</v>
      </c>
      <c r="S55" s="4"/>
      <c r="T55" s="47" t="s">
        <v>99</v>
      </c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6"/>
    </row>
    <row r="56" spans="2:34" x14ac:dyDescent="0.3">
      <c r="B56" s="7">
        <f t="shared" si="19"/>
        <v>9.1999999999999993</v>
      </c>
      <c r="C56" s="7">
        <f t="shared" si="25"/>
        <v>-9.1999999999999993</v>
      </c>
      <c r="D56" s="7">
        <f t="shared" si="20"/>
        <v>4.301749709515998</v>
      </c>
      <c r="F56" s="26" t="s">
        <v>77</v>
      </c>
      <c r="G56" s="7">
        <v>0.28699999999999998</v>
      </c>
      <c r="H56" s="7">
        <f t="shared" si="18"/>
        <v>406215.38461538445</v>
      </c>
      <c r="I56" s="7">
        <f t="shared" si="21"/>
        <v>16925.64102564102</v>
      </c>
      <c r="J56" s="7">
        <f t="shared" si="22"/>
        <v>46.371619248331562</v>
      </c>
      <c r="K56" s="27">
        <f>$AG$15*0.6</f>
        <v>1.12797196553283</v>
      </c>
      <c r="L56" s="26" t="s">
        <v>77</v>
      </c>
      <c r="M56" s="7">
        <v>0.28699999999999998</v>
      </c>
      <c r="N56" s="7">
        <f t="shared" si="26"/>
        <v>98856.590909090897</v>
      </c>
      <c r="O56" s="7">
        <f t="shared" si="23"/>
        <v>4119.024621212121</v>
      </c>
      <c r="P56" s="7">
        <f t="shared" si="24"/>
        <v>11.284998962224989</v>
      </c>
      <c r="Q56" s="27">
        <f>$AG$31*0.6</f>
        <v>1.549142892177745</v>
      </c>
      <c r="S56" s="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6"/>
    </row>
    <row r="57" spans="2:34" ht="16.8" x14ac:dyDescent="0.35">
      <c r="B57" s="7">
        <f t="shared" ref="B57:B66" si="27">U21</f>
        <v>10.229999999999999</v>
      </c>
      <c r="C57" s="7">
        <f t="shared" si="25"/>
        <v>-10.229999999999999</v>
      </c>
      <c r="D57" s="7">
        <f t="shared" ref="D57:D66" si="28">AC21</f>
        <v>3.8406996716849493</v>
      </c>
      <c r="F57" s="26" t="s">
        <v>80</v>
      </c>
      <c r="G57" s="7">
        <v>0.34200000000000003</v>
      </c>
      <c r="H57" s="7">
        <f t="shared" si="18"/>
        <v>484061.53846153838</v>
      </c>
      <c r="I57" s="7">
        <f t="shared" si="21"/>
        <v>20169.230769230766</v>
      </c>
      <c r="J57" s="7">
        <f t="shared" si="22"/>
        <v>55.258166491043191</v>
      </c>
      <c r="K57" s="27">
        <f>$AG$15*0.65</f>
        <v>1.2219696293272326</v>
      </c>
      <c r="L57" s="26" t="s">
        <v>80</v>
      </c>
      <c r="M57" s="7">
        <v>0.34200000000000003</v>
      </c>
      <c r="N57" s="7">
        <f t="shared" si="26"/>
        <v>117801.23376623378</v>
      </c>
      <c r="O57" s="7">
        <f t="shared" si="23"/>
        <v>4908.3847402597412</v>
      </c>
      <c r="P57" s="7">
        <f t="shared" si="24"/>
        <v>13.447629425369154</v>
      </c>
      <c r="Q57" s="27">
        <f>$AG$31*0.65</f>
        <v>1.6782381331925573</v>
      </c>
      <c r="S57" s="4"/>
      <c r="T57" s="7" t="s">
        <v>17</v>
      </c>
      <c r="U57" s="7">
        <f>$C$20+$C$10+$C$30+$C$40*0.1</f>
        <v>28.7</v>
      </c>
      <c r="V57" s="7" t="s">
        <v>27</v>
      </c>
      <c r="W57" s="7">
        <f>($H$4/2)^2+(U57^2)</f>
        <v>848.68999999999994</v>
      </c>
      <c r="X57" s="7" t="s">
        <v>28</v>
      </c>
      <c r="Y57" s="7">
        <f>($H$5/2)^2+U57^2</f>
        <v>904.68999999999994</v>
      </c>
      <c r="Z57" s="7" t="s">
        <v>30</v>
      </c>
      <c r="AA57" s="7">
        <f>SQRT(($H$4/2)^2+($H$5/2)^2+U57^2)</f>
        <v>30.490818290101693</v>
      </c>
      <c r="AB57" s="8" t="s">
        <v>33</v>
      </c>
      <c r="AC57" s="7">
        <f>(($H$8/(2*PI()))*(ATAN(($H$5/2)*($H$4/2)/(U57*AA57))+(($H$5/2)*($H$4/2)*U57/AA57)*((1/W57)+(1/Y57))))*4</f>
        <v>0.80144288501832883</v>
      </c>
      <c r="AD57" s="9" t="s">
        <v>43</v>
      </c>
      <c r="AE57" s="7">
        <f>(AC57/10)*($C$40*100)*$C$36</f>
        <v>0.69004232400078125</v>
      </c>
      <c r="AF57" s="10" t="s">
        <v>53</v>
      </c>
      <c r="AG57" s="7">
        <f>(AC57/10)*($C$40*100)*$C$37</f>
        <v>1.4025250487820757</v>
      </c>
      <c r="AH57" s="6"/>
    </row>
    <row r="58" spans="2:34" ht="16.8" x14ac:dyDescent="0.35">
      <c r="B58" s="7">
        <f t="shared" si="27"/>
        <v>11.26</v>
      </c>
      <c r="C58" s="7">
        <f t="shared" si="25"/>
        <v>-11.26</v>
      </c>
      <c r="D58" s="7">
        <f t="shared" si="28"/>
        <v>3.4350791316450557</v>
      </c>
      <c r="F58" s="26" t="s">
        <v>81</v>
      </c>
      <c r="G58" s="7">
        <v>0.40200000000000002</v>
      </c>
      <c r="H58" s="7">
        <f t="shared" si="18"/>
        <v>568984.61538461526</v>
      </c>
      <c r="I58" s="7">
        <f t="shared" si="21"/>
        <v>23707.692307692301</v>
      </c>
      <c r="J58" s="7">
        <f t="shared" si="22"/>
        <v>64.952581664910412</v>
      </c>
      <c r="K58" s="27">
        <f>$AG$15*0.7</f>
        <v>1.3159672931216351</v>
      </c>
      <c r="L58" s="26" t="s">
        <v>81</v>
      </c>
      <c r="M58" s="7">
        <v>0.40200000000000002</v>
      </c>
      <c r="N58" s="7">
        <f t="shared" si="26"/>
        <v>138468.11688311689</v>
      </c>
      <c r="O58" s="7">
        <f t="shared" si="23"/>
        <v>5769.5048701298701</v>
      </c>
      <c r="P58" s="7">
        <f t="shared" si="24"/>
        <v>15.806862657890056</v>
      </c>
      <c r="Q58" s="27">
        <f>$AG$31*0.7</f>
        <v>1.8073333742073692</v>
      </c>
      <c r="S58" s="4"/>
      <c r="T58" s="7" t="s">
        <v>18</v>
      </c>
      <c r="U58" s="7">
        <f>$C$20+$C$10+$C$30+$C$40*0.2</f>
        <v>29.4</v>
      </c>
      <c r="V58" s="7" t="s">
        <v>27</v>
      </c>
      <c r="W58" s="7">
        <f t="shared" ref="W58:W66" si="29">($H$4/2)^2+(U58^2)</f>
        <v>889.3599999999999</v>
      </c>
      <c r="X58" s="7" t="s">
        <v>28</v>
      </c>
      <c r="Y58" s="7">
        <f t="shared" ref="Y58:Y66" si="30">($H$5/2)^2+U58^2</f>
        <v>945.3599999999999</v>
      </c>
      <c r="Z58" s="7" t="s">
        <v>30</v>
      </c>
      <c r="AA58" s="7">
        <f t="shared" ref="AA58:AA66" si="31">SQRT(($H$4/2)^2+($H$5/2)^2+U58^2)</f>
        <v>31.150601920348183</v>
      </c>
      <c r="AB58" s="8" t="s">
        <v>34</v>
      </c>
      <c r="AC58" s="7">
        <f t="shared" ref="AC58:AC66" si="32">(($H$8/(2*PI()))*(ATAN(($H$5/2)*($H$4/2)/(U58*AA58))+(($H$5/2)*($H$4/2)*U58/AA58)*((1/W58)+(1/Y58))))*4</f>
        <v>0.767192793669214</v>
      </c>
      <c r="AD58" s="9" t="s">
        <v>44</v>
      </c>
      <c r="AE58" s="7">
        <f t="shared" ref="AE58:AE66" si="33">(AC58/10)*($C$40*100)*$C$36</f>
        <v>0.66055299534919321</v>
      </c>
      <c r="AF58" s="10" t="s">
        <v>54</v>
      </c>
      <c r="AG58" s="7">
        <f t="shared" ref="AG58:AG66" si="34">(AC58/10)*($C$40*100)*$C$37</f>
        <v>1.3425873889211246</v>
      </c>
      <c r="AH58" s="6"/>
    </row>
    <row r="59" spans="2:34" ht="16.8" x14ac:dyDescent="0.35">
      <c r="B59" s="7">
        <f t="shared" si="27"/>
        <v>12.29</v>
      </c>
      <c r="C59" s="7">
        <f t="shared" si="25"/>
        <v>-12.29</v>
      </c>
      <c r="D59" s="7">
        <f t="shared" si="28"/>
        <v>3.0797389610594355</v>
      </c>
      <c r="F59" s="26" t="s">
        <v>82</v>
      </c>
      <c r="G59" s="7">
        <v>0.47699999999999998</v>
      </c>
      <c r="H59" s="7">
        <f t="shared" si="18"/>
        <v>675138.46153846139</v>
      </c>
      <c r="I59" s="7">
        <f t="shared" si="21"/>
        <v>28130.769230769223</v>
      </c>
      <c r="J59" s="7">
        <f t="shared" si="22"/>
        <v>77.070600632244449</v>
      </c>
      <c r="K59" s="27">
        <f>$AG$15*0.75</f>
        <v>1.4099649569160375</v>
      </c>
      <c r="L59" s="26" t="s">
        <v>82</v>
      </c>
      <c r="M59" s="7">
        <v>0.47699999999999998</v>
      </c>
      <c r="N59" s="7">
        <f t="shared" si="26"/>
        <v>164301.72077922078</v>
      </c>
      <c r="O59" s="7">
        <f t="shared" si="23"/>
        <v>6845.9050324675327</v>
      </c>
      <c r="P59" s="7">
        <f t="shared" si="24"/>
        <v>18.755904198541185</v>
      </c>
      <c r="Q59" s="27">
        <f>$AG$31*0.75</f>
        <v>1.9364286152221815</v>
      </c>
      <c r="S59" s="4"/>
      <c r="T59" s="7" t="s">
        <v>19</v>
      </c>
      <c r="U59" s="7">
        <f>$C$20+$C$10+$C$30+$C$40*0.3</f>
        <v>30.1</v>
      </c>
      <c r="V59" s="7" t="s">
        <v>27</v>
      </c>
      <c r="W59" s="7">
        <f t="shared" si="29"/>
        <v>931.0100000000001</v>
      </c>
      <c r="X59" s="7" t="s">
        <v>28</v>
      </c>
      <c r="Y59" s="7">
        <f t="shared" si="30"/>
        <v>987.0100000000001</v>
      </c>
      <c r="Z59" s="7" t="s">
        <v>31</v>
      </c>
      <c r="AA59" s="7">
        <f t="shared" si="31"/>
        <v>31.812104614438827</v>
      </c>
      <c r="AB59" s="8" t="s">
        <v>35</v>
      </c>
      <c r="AC59" s="7">
        <f t="shared" si="32"/>
        <v>0.73502570776756293</v>
      </c>
      <c r="AD59" s="9" t="s">
        <v>45</v>
      </c>
      <c r="AE59" s="7">
        <f t="shared" si="33"/>
        <v>0.63285713438787161</v>
      </c>
      <c r="AF59" s="10" t="s">
        <v>55</v>
      </c>
      <c r="AG59" s="7">
        <f t="shared" si="34"/>
        <v>1.2862949885932351</v>
      </c>
      <c r="AH59" s="6"/>
    </row>
    <row r="60" spans="2:34" ht="16.8" x14ac:dyDescent="0.35">
      <c r="B60" s="7">
        <f t="shared" si="27"/>
        <v>13.32</v>
      </c>
      <c r="C60" s="7">
        <f t="shared" si="25"/>
        <v>-13.32</v>
      </c>
      <c r="D60" s="7">
        <f t="shared" si="28"/>
        <v>2.7689906530761923</v>
      </c>
      <c r="F60" s="26" t="s">
        <v>83</v>
      </c>
      <c r="G60" s="7">
        <v>0.56499999999999995</v>
      </c>
      <c r="H60" s="7">
        <f t="shared" si="18"/>
        <v>799692.3076923074</v>
      </c>
      <c r="I60" s="7">
        <f t="shared" si="21"/>
        <v>33320.512820512806</v>
      </c>
      <c r="J60" s="7">
        <f t="shared" si="22"/>
        <v>91.289076220583027</v>
      </c>
      <c r="K60" s="27">
        <f>$AG$15*0.8</f>
        <v>1.5039626207104402</v>
      </c>
      <c r="L60" s="26" t="s">
        <v>83</v>
      </c>
      <c r="M60" s="7">
        <v>0.56499999999999995</v>
      </c>
      <c r="N60" s="7">
        <f t="shared" si="26"/>
        <v>194613.14935064936</v>
      </c>
      <c r="O60" s="7">
        <f t="shared" si="23"/>
        <v>8108.8812229437235</v>
      </c>
      <c r="P60" s="7">
        <f t="shared" si="24"/>
        <v>22.216112939571847</v>
      </c>
      <c r="Q60" s="27">
        <f>$AG$31*0.8</f>
        <v>2.0655238562369935</v>
      </c>
      <c r="S60" s="4"/>
      <c r="T60" s="7" t="s">
        <v>20</v>
      </c>
      <c r="U60" s="7">
        <f>$C$20+$C$10+$C$30+$C$40*0.4</f>
        <v>30.8</v>
      </c>
      <c r="V60" s="7" t="s">
        <v>27</v>
      </c>
      <c r="W60" s="7">
        <f t="shared" si="29"/>
        <v>973.6400000000001</v>
      </c>
      <c r="X60" s="7" t="s">
        <v>28</v>
      </c>
      <c r="Y60" s="7">
        <f t="shared" si="30"/>
        <v>1029.6400000000001</v>
      </c>
      <c r="Z60" s="7" t="s">
        <v>31</v>
      </c>
      <c r="AA60" s="7">
        <f t="shared" si="31"/>
        <v>32.47522132334128</v>
      </c>
      <c r="AB60" s="8" t="s">
        <v>36</v>
      </c>
      <c r="AC60" s="7">
        <f t="shared" si="32"/>
        <v>0.70478142229465246</v>
      </c>
      <c r="AD60" s="9" t="s">
        <v>46</v>
      </c>
      <c r="AE60" s="7">
        <f t="shared" si="33"/>
        <v>0.60681680459569576</v>
      </c>
      <c r="AF60" s="10" t="s">
        <v>56</v>
      </c>
      <c r="AG60" s="7">
        <f t="shared" si="34"/>
        <v>1.2333674890156419</v>
      </c>
      <c r="AH60" s="6"/>
    </row>
    <row r="61" spans="2:34" ht="16.8" x14ac:dyDescent="0.35">
      <c r="B61" s="7">
        <f t="shared" si="27"/>
        <v>14.35</v>
      </c>
      <c r="C61" s="7">
        <f t="shared" si="25"/>
        <v>-14.35</v>
      </c>
      <c r="D61" s="7">
        <f t="shared" si="28"/>
        <v>2.4972516223639811</v>
      </c>
      <c r="F61" s="26" t="s">
        <v>84</v>
      </c>
      <c r="G61" s="7">
        <v>0.68400000000000005</v>
      </c>
      <c r="H61" s="7">
        <f t="shared" si="18"/>
        <v>968123.07692307676</v>
      </c>
      <c r="I61" s="7">
        <f t="shared" si="21"/>
        <v>40338.461538461532</v>
      </c>
      <c r="J61" s="7">
        <f t="shared" si="22"/>
        <v>110.51633298208638</v>
      </c>
      <c r="K61" s="27">
        <f>$AG$15*0.85</f>
        <v>1.5979602845048426</v>
      </c>
      <c r="L61" s="26" t="s">
        <v>84</v>
      </c>
      <c r="M61" s="7">
        <v>0.68400000000000005</v>
      </c>
      <c r="N61" s="7">
        <f t="shared" si="26"/>
        <v>235602.46753246756</v>
      </c>
      <c r="O61" s="7">
        <f t="shared" si="23"/>
        <v>9816.7694805194824</v>
      </c>
      <c r="P61" s="7">
        <f t="shared" si="24"/>
        <v>26.895258850738308</v>
      </c>
      <c r="Q61" s="27">
        <f>$AG$31*0.85</f>
        <v>2.1946190972518056</v>
      </c>
      <c r="S61" s="4"/>
      <c r="T61" s="7" t="s">
        <v>21</v>
      </c>
      <c r="U61" s="7">
        <f>$C$20+$C$10+$C$30+$C$40*0.5</f>
        <v>31.5</v>
      </c>
      <c r="V61" s="7" t="s">
        <v>27</v>
      </c>
      <c r="W61" s="7">
        <f t="shared" si="29"/>
        <v>1017.25</v>
      </c>
      <c r="X61" s="7" t="s">
        <v>28</v>
      </c>
      <c r="Y61" s="7">
        <f t="shared" si="30"/>
        <v>1073.25</v>
      </c>
      <c r="Z61" s="7" t="s">
        <v>31</v>
      </c>
      <c r="AA61" s="7">
        <f t="shared" si="31"/>
        <v>33.139855159611066</v>
      </c>
      <c r="AB61" s="8" t="s">
        <v>37</v>
      </c>
      <c r="AC61" s="7">
        <f t="shared" si="32"/>
        <v>0.67631431265866582</v>
      </c>
      <c r="AD61" s="9" t="s">
        <v>47</v>
      </c>
      <c r="AE61" s="7">
        <f t="shared" si="33"/>
        <v>0.58230662319911131</v>
      </c>
      <c r="AF61" s="10" t="s">
        <v>57</v>
      </c>
      <c r="AG61" s="7">
        <f t="shared" si="34"/>
        <v>1.1835500471526652</v>
      </c>
      <c r="AH61" s="6"/>
    </row>
    <row r="62" spans="2:34" ht="16.8" x14ac:dyDescent="0.35">
      <c r="B62" s="7">
        <f t="shared" si="27"/>
        <v>15.379999999999999</v>
      </c>
      <c r="C62" s="7">
        <f t="shared" si="25"/>
        <v>-15.379999999999999</v>
      </c>
      <c r="D62" s="7">
        <f t="shared" si="28"/>
        <v>2.259360478224143</v>
      </c>
      <c r="F62" s="26" t="s">
        <v>85</v>
      </c>
      <c r="G62" s="7">
        <v>0.84799999999999998</v>
      </c>
      <c r="H62" s="7">
        <f t="shared" si="18"/>
        <v>1200246.1538461535</v>
      </c>
      <c r="I62" s="7">
        <f t="shared" si="21"/>
        <v>50010.256410256399</v>
      </c>
      <c r="J62" s="7">
        <f t="shared" si="22"/>
        <v>137.01440112399013</v>
      </c>
      <c r="K62" s="27">
        <f>$AG$15*0.9</f>
        <v>1.6919579482992453</v>
      </c>
      <c r="L62" s="26" t="s">
        <v>85</v>
      </c>
      <c r="M62" s="7">
        <v>0.84799999999999998</v>
      </c>
      <c r="N62" s="7">
        <f t="shared" si="26"/>
        <v>292091.94805194804</v>
      </c>
      <c r="O62" s="7">
        <f t="shared" si="23"/>
        <v>12170.497835497836</v>
      </c>
      <c r="P62" s="7">
        <f t="shared" si="24"/>
        <v>33.343829686295443</v>
      </c>
      <c r="Q62" s="27">
        <f>$AG$31*0.9</f>
        <v>2.3237143382666177</v>
      </c>
      <c r="S62" s="4"/>
      <c r="T62" s="7" t="s">
        <v>22</v>
      </c>
      <c r="U62" s="7">
        <f>$C$20+$C$10+$C$30+$C$40*0.6</f>
        <v>32.200000000000003</v>
      </c>
      <c r="V62" s="7" t="s">
        <v>27</v>
      </c>
      <c r="W62" s="7">
        <f t="shared" si="29"/>
        <v>1061.8400000000001</v>
      </c>
      <c r="X62" s="7" t="s">
        <v>28</v>
      </c>
      <c r="Y62" s="7">
        <f t="shared" si="30"/>
        <v>1117.8400000000001</v>
      </c>
      <c r="Z62" s="7" t="s">
        <v>31</v>
      </c>
      <c r="AA62" s="7">
        <f t="shared" si="31"/>
        <v>33.805916641913441</v>
      </c>
      <c r="AB62" s="8" t="s">
        <v>38</v>
      </c>
      <c r="AC62" s="7">
        <f t="shared" si="32"/>
        <v>0.64949183345386319</v>
      </c>
      <c r="AD62" s="9" t="s">
        <v>48</v>
      </c>
      <c r="AE62" s="7">
        <f t="shared" si="33"/>
        <v>0.55921246860377627</v>
      </c>
      <c r="AF62" s="10" t="s">
        <v>58</v>
      </c>
      <c r="AG62" s="7">
        <f t="shared" si="34"/>
        <v>1.1366107085442607</v>
      </c>
      <c r="AH62" s="6"/>
    </row>
    <row r="63" spans="2:34" ht="17.399999999999999" thickBot="1" x14ac:dyDescent="0.4">
      <c r="B63" s="7">
        <f t="shared" si="27"/>
        <v>16.41</v>
      </c>
      <c r="C63" s="7">
        <f t="shared" si="25"/>
        <v>-16.41</v>
      </c>
      <c r="D63" s="7">
        <f t="shared" si="28"/>
        <v>2.0507049857185216</v>
      </c>
      <c r="F63" s="28" t="s">
        <v>86</v>
      </c>
      <c r="G63" s="29">
        <v>1.127</v>
      </c>
      <c r="H63" s="29">
        <f t="shared" si="18"/>
        <v>1595138.461538461</v>
      </c>
      <c r="I63" s="29">
        <f t="shared" si="21"/>
        <v>66464.102564102548</v>
      </c>
      <c r="J63" s="29">
        <f t="shared" si="22"/>
        <v>182.09343168247273</v>
      </c>
      <c r="K63" s="30">
        <f>$AG$15*0.95</f>
        <v>1.7859556120936475</v>
      </c>
      <c r="L63" s="28" t="s">
        <v>86</v>
      </c>
      <c r="M63" s="29">
        <v>1.127</v>
      </c>
      <c r="N63" s="29">
        <f t="shared" si="26"/>
        <v>388192.95454545453</v>
      </c>
      <c r="O63" s="29">
        <f t="shared" si="23"/>
        <v>16174.706439393938</v>
      </c>
      <c r="P63" s="29">
        <f t="shared" si="24"/>
        <v>44.314264217517639</v>
      </c>
      <c r="Q63" s="30">
        <f>$AG$31*0.95</f>
        <v>2.4528095792814297</v>
      </c>
      <c r="S63" s="4"/>
      <c r="T63" s="7" t="s">
        <v>23</v>
      </c>
      <c r="U63" s="7">
        <f>$C$20+$C$10+$C$30+$C$40*0.7</f>
        <v>32.9</v>
      </c>
      <c r="V63" s="7" t="s">
        <v>27</v>
      </c>
      <c r="W63" s="7">
        <f t="shared" si="29"/>
        <v>1107.4099999999999</v>
      </c>
      <c r="X63" s="7" t="s">
        <v>28</v>
      </c>
      <c r="Y63" s="7">
        <f t="shared" si="30"/>
        <v>1163.4099999999999</v>
      </c>
      <c r="Z63" s="7" t="s">
        <v>31</v>
      </c>
      <c r="AA63" s="7">
        <f t="shared" si="31"/>
        <v>34.473323019401533</v>
      </c>
      <c r="AB63" s="8" t="s">
        <v>39</v>
      </c>
      <c r="AC63" s="7">
        <f t="shared" si="32"/>
        <v>0.62419318591094908</v>
      </c>
      <c r="AD63" s="9" t="s">
        <v>49</v>
      </c>
      <c r="AE63" s="7">
        <f t="shared" si="33"/>
        <v>0.53743033306932719</v>
      </c>
      <c r="AF63" s="10" t="s">
        <v>59</v>
      </c>
      <c r="AG63" s="7">
        <f t="shared" si="34"/>
        <v>1.0923380753441609</v>
      </c>
      <c r="AH63" s="6"/>
    </row>
    <row r="64" spans="2:34" ht="16.8" x14ac:dyDescent="0.35">
      <c r="B64" s="7">
        <f t="shared" si="27"/>
        <v>17.439999999999998</v>
      </c>
      <c r="C64" s="7">
        <f t="shared" si="25"/>
        <v>-17.439999999999998</v>
      </c>
      <c r="D64" s="7">
        <f t="shared" si="28"/>
        <v>1.867247663457769</v>
      </c>
      <c r="P64" s="11">
        <f>J63</f>
        <v>182.09343168247273</v>
      </c>
      <c r="Q64" s="15">
        <f>AG31</f>
        <v>2.5819048202962418</v>
      </c>
      <c r="S64" s="4"/>
      <c r="T64" s="7" t="s">
        <v>24</v>
      </c>
      <c r="U64" s="7">
        <f>$C$20+$C$10+$C$30+$C$40*0.8</f>
        <v>33.6</v>
      </c>
      <c r="V64" s="7" t="s">
        <v>27</v>
      </c>
      <c r="W64" s="7">
        <f t="shared" si="29"/>
        <v>1153.96</v>
      </c>
      <c r="X64" s="7" t="s">
        <v>28</v>
      </c>
      <c r="Y64" s="7">
        <f t="shared" si="30"/>
        <v>1209.96</v>
      </c>
      <c r="Z64" s="7" t="s">
        <v>31</v>
      </c>
      <c r="AA64" s="7">
        <f t="shared" si="31"/>
        <v>35.141997666609676</v>
      </c>
      <c r="AB64" s="8" t="s">
        <v>40</v>
      </c>
      <c r="AC64" s="7">
        <f t="shared" si="32"/>
        <v>0.60030813407146844</v>
      </c>
      <c r="AD64" s="9" t="s">
        <v>50</v>
      </c>
      <c r="AE64" s="7">
        <f t="shared" si="33"/>
        <v>0.51686530343553438</v>
      </c>
      <c r="AF64" s="10" t="s">
        <v>60</v>
      </c>
      <c r="AG64" s="7">
        <f t="shared" si="34"/>
        <v>1.0505392346250699</v>
      </c>
      <c r="AH64" s="6"/>
    </row>
    <row r="65" spans="2:34" ht="17.399999999999999" thickBot="1" x14ac:dyDescent="0.4">
      <c r="B65" s="7">
        <f t="shared" si="27"/>
        <v>18.47</v>
      </c>
      <c r="C65" s="7">
        <f t="shared" si="25"/>
        <v>-18.47</v>
      </c>
      <c r="D65" s="7">
        <f t="shared" si="28"/>
        <v>1.7054987638532815</v>
      </c>
      <c r="S65" s="4"/>
      <c r="T65" s="7" t="s">
        <v>25</v>
      </c>
      <c r="U65" s="7">
        <f>$C$20+$C$10+$C$30+$C$40*0.9</f>
        <v>34.299999999999997</v>
      </c>
      <c r="V65" s="7" t="s">
        <v>27</v>
      </c>
      <c r="W65" s="7">
        <f t="shared" si="29"/>
        <v>1201.4899999999998</v>
      </c>
      <c r="X65" s="7" t="s">
        <v>28</v>
      </c>
      <c r="Y65" s="7">
        <f t="shared" si="30"/>
        <v>1257.4899999999998</v>
      </c>
      <c r="Z65" s="7" t="s">
        <v>31</v>
      </c>
      <c r="AA65" s="7">
        <f t="shared" si="31"/>
        <v>35.811869540698375</v>
      </c>
      <c r="AB65" s="8" t="s">
        <v>41</v>
      </c>
      <c r="AC65" s="7">
        <f t="shared" si="32"/>
        <v>0.57773595209567075</v>
      </c>
      <c r="AD65" s="9" t="s">
        <v>51</v>
      </c>
      <c r="AE65" s="7">
        <f t="shared" si="33"/>
        <v>0.49743065475437254</v>
      </c>
      <c r="AF65" s="10" t="s">
        <v>61</v>
      </c>
      <c r="AG65" s="7">
        <f t="shared" si="34"/>
        <v>1.0110379161674239</v>
      </c>
      <c r="AH65" s="6"/>
    </row>
    <row r="66" spans="2:34" ht="17.399999999999999" thickBot="1" x14ac:dyDescent="0.4">
      <c r="B66" s="7">
        <f t="shared" si="27"/>
        <v>19.5</v>
      </c>
      <c r="C66" s="7">
        <f t="shared" si="25"/>
        <v>-19.5</v>
      </c>
      <c r="D66" s="7">
        <f t="shared" si="28"/>
        <v>1.5624651591714454</v>
      </c>
      <c r="F66" s="43" t="s">
        <v>91</v>
      </c>
      <c r="G66" s="44"/>
      <c r="H66" s="44"/>
      <c r="I66" s="44"/>
      <c r="J66" s="44"/>
      <c r="K66" s="44"/>
      <c r="L66" s="43" t="s">
        <v>95</v>
      </c>
      <c r="M66" s="44"/>
      <c r="N66" s="44"/>
      <c r="O66" s="44"/>
      <c r="P66" s="44"/>
      <c r="Q66" s="45"/>
      <c r="S66" s="4"/>
      <c r="T66" s="7" t="s">
        <v>26</v>
      </c>
      <c r="U66" s="7">
        <f>$C$20+$C$10+$C$30+$C$40*1</f>
        <v>35</v>
      </c>
      <c r="V66" s="7" t="s">
        <v>27</v>
      </c>
      <c r="W66" s="7">
        <f t="shared" si="29"/>
        <v>1250</v>
      </c>
      <c r="X66" s="7" t="s">
        <v>28</v>
      </c>
      <c r="Y66" s="7">
        <f t="shared" si="30"/>
        <v>1306</v>
      </c>
      <c r="Z66" s="7" t="s">
        <v>31</v>
      </c>
      <c r="AA66" s="7">
        <f t="shared" si="31"/>
        <v>36.4828726939094</v>
      </c>
      <c r="AB66" s="8" t="s">
        <v>42</v>
      </c>
      <c r="AC66" s="7">
        <f t="shared" si="32"/>
        <v>0.55638448722999811</v>
      </c>
      <c r="AD66" s="9" t="s">
        <v>52</v>
      </c>
      <c r="AE66" s="7">
        <f t="shared" si="33"/>
        <v>0.47904704350502836</v>
      </c>
      <c r="AF66" s="10" t="s">
        <v>62</v>
      </c>
      <c r="AG66" s="7">
        <f t="shared" si="34"/>
        <v>0.9736728526524967</v>
      </c>
      <c r="AH66" s="6"/>
    </row>
    <row r="67" spans="2:34" ht="15" thickBot="1" x14ac:dyDescent="0.35">
      <c r="B67" s="7">
        <f t="shared" ref="B67:B76" si="35">U40</f>
        <v>20.350000000000001</v>
      </c>
      <c r="C67" s="7">
        <f t="shared" si="25"/>
        <v>-20.350000000000001</v>
      </c>
      <c r="D67" s="7">
        <f t="shared" ref="D67:D76" si="36">AC40</f>
        <v>1.4566979480597217</v>
      </c>
      <c r="F67" s="31" t="s">
        <v>87</v>
      </c>
      <c r="G67" s="32"/>
      <c r="H67" s="32" t="s">
        <v>92</v>
      </c>
      <c r="I67" s="32" t="s">
        <v>94</v>
      </c>
      <c r="J67" s="32" t="s">
        <v>88</v>
      </c>
      <c r="K67" s="33" t="s">
        <v>104</v>
      </c>
      <c r="L67" s="31" t="s">
        <v>87</v>
      </c>
      <c r="M67" s="32"/>
      <c r="N67" s="32" t="s">
        <v>92</v>
      </c>
      <c r="O67" s="32" t="s">
        <v>94</v>
      </c>
      <c r="P67" s="32" t="s">
        <v>88</v>
      </c>
      <c r="Q67" s="34" t="s">
        <v>104</v>
      </c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">
        <f>AVERAGE(AE57:AE66)</f>
        <v>0.57625616849006922</v>
      </c>
      <c r="AF67" s="5"/>
      <c r="AG67" s="11">
        <f>AVERAGE(AG57:AG66)</f>
        <v>1.1712523749798156</v>
      </c>
      <c r="AH67" s="6"/>
    </row>
    <row r="68" spans="2:34" x14ac:dyDescent="0.3">
      <c r="B68" s="7">
        <f t="shared" si="35"/>
        <v>21.2</v>
      </c>
      <c r="C68" s="7">
        <f t="shared" si="25"/>
        <v>-21.2</v>
      </c>
      <c r="D68" s="7">
        <f t="shared" si="36"/>
        <v>1.360688946906575</v>
      </c>
      <c r="F68" s="22" t="s">
        <v>68</v>
      </c>
      <c r="G68" s="23"/>
      <c r="H68" s="23">
        <f>0</f>
        <v>0</v>
      </c>
      <c r="I68" s="23">
        <v>0</v>
      </c>
      <c r="J68" s="23">
        <v>0</v>
      </c>
      <c r="K68" s="35">
        <f>$AG$15*0</f>
        <v>0</v>
      </c>
      <c r="L68" s="22" t="s">
        <v>68</v>
      </c>
      <c r="M68" s="23"/>
      <c r="N68" s="23">
        <f>0</f>
        <v>0</v>
      </c>
      <c r="O68" s="23">
        <v>0</v>
      </c>
      <c r="P68" s="23">
        <v>0</v>
      </c>
      <c r="Q68" s="24">
        <f>$AG$15*0</f>
        <v>0</v>
      </c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</row>
    <row r="69" spans="2:34" x14ac:dyDescent="0.3">
      <c r="B69" s="7">
        <f t="shared" si="35"/>
        <v>22.05</v>
      </c>
      <c r="C69" s="7">
        <f t="shared" si="25"/>
        <v>-22.05</v>
      </c>
      <c r="D69" s="7">
        <f t="shared" si="36"/>
        <v>1.2733522663136274</v>
      </c>
      <c r="F69" s="26" t="s">
        <v>69</v>
      </c>
      <c r="G69" s="7">
        <v>8.0000000000000002E-3</v>
      </c>
      <c r="H69" s="7">
        <f>(G69*IF($D$31=2,(($C$30*100)/2)^2,IF($D$31=1,($C$30*100)^2,"")))/$C$28</f>
        <v>5254.545454545454</v>
      </c>
      <c r="I69" s="7">
        <f>H69/24</f>
        <v>218.93939393939391</v>
      </c>
      <c r="J69" s="7">
        <f>I69/365</f>
        <v>0.59983395599833944</v>
      </c>
      <c r="K69" s="36">
        <f>(K46*$AG$50)/$AG$15</f>
        <v>0.20783411002928071</v>
      </c>
      <c r="L69" s="26" t="s">
        <v>69</v>
      </c>
      <c r="M69" s="7">
        <v>8.0000000000000002E-3</v>
      </c>
      <c r="N69" s="7">
        <f>(M69*IF($D$41=2,(($C$40*100)/2)^2,IF($D$41=1,($C$40*100)^2,"")))/$C$38</f>
        <v>3299.6632996632998</v>
      </c>
      <c r="O69" s="7">
        <f>N69/24</f>
        <v>137.48597081930416</v>
      </c>
      <c r="P69" s="7">
        <f>O69/365</f>
        <v>0.37667389265562784</v>
      </c>
      <c r="Q69" s="27">
        <f>(Q46*$AG$67)/$AG$31</f>
        <v>0.11712523749798157</v>
      </c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</row>
    <row r="70" spans="2:34" ht="15" thickBot="1" x14ac:dyDescent="0.35">
      <c r="B70" s="7">
        <f t="shared" si="35"/>
        <v>22.9</v>
      </c>
      <c r="C70" s="7">
        <f t="shared" si="25"/>
        <v>-22.9</v>
      </c>
      <c r="D70" s="7">
        <f t="shared" si="36"/>
        <v>1.1937367565439918</v>
      </c>
      <c r="F70" s="26" t="s">
        <v>70</v>
      </c>
      <c r="G70" s="7">
        <v>1.7999999999999999E-2</v>
      </c>
      <c r="H70" s="7">
        <f t="shared" ref="H70:H86" si="37">(G70*IF($D$31=2,(($C$30*100)/2)^2,IF($D$31=1,($C$30*100)^2,"")))/$C$28</f>
        <v>11822.72727272727</v>
      </c>
      <c r="I70" s="7">
        <f t="shared" ref="I70:I86" si="38">H70/24</f>
        <v>492.61363636363626</v>
      </c>
      <c r="J70" s="7">
        <f t="shared" ref="J70:J86" si="39">I70/365</f>
        <v>1.3496264009962637</v>
      </c>
      <c r="K70" s="36">
        <f t="shared" ref="K70:K86" si="40">(K47*$AG$50)/$AG$15</f>
        <v>0.31175116504392103</v>
      </c>
      <c r="L70" s="26" t="s">
        <v>70</v>
      </c>
      <c r="M70" s="7">
        <v>1.7999999999999999E-2</v>
      </c>
      <c r="N70" s="7">
        <f t="shared" ref="N70:N86" si="41">(M70*IF($D$41=2,(($C$40*100)/2)^2,IF($D$41=1,($C$40*100)^2,"")))/$C$38</f>
        <v>7424.2424242424249</v>
      </c>
      <c r="O70" s="7">
        <f t="shared" ref="O70:O86" si="42">N70/24</f>
        <v>309.34343434343435</v>
      </c>
      <c r="P70" s="7">
        <f t="shared" ref="P70:P86" si="43">O70/365</f>
        <v>0.84751625847516265</v>
      </c>
      <c r="Q70" s="27">
        <f t="shared" ref="Q70:Q86" si="44">(Q47*$AG$67)/$AG$31</f>
        <v>0.17568785624697233</v>
      </c>
      <c r="S70" s="12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2:34" x14ac:dyDescent="0.3">
      <c r="B71" s="7">
        <f t="shared" si="35"/>
        <v>23.75</v>
      </c>
      <c r="C71" s="7">
        <f t="shared" si="25"/>
        <v>-23.75</v>
      </c>
      <c r="D71" s="7">
        <f t="shared" si="36"/>
        <v>1.1210087236592163</v>
      </c>
      <c r="F71" s="26" t="s">
        <v>71</v>
      </c>
      <c r="G71" s="7">
        <v>3.1E-2</v>
      </c>
      <c r="H71" s="7">
        <f t="shared" si="37"/>
        <v>20361.363636363636</v>
      </c>
      <c r="I71" s="7">
        <f t="shared" si="38"/>
        <v>848.3901515151515</v>
      </c>
      <c r="J71" s="7">
        <f t="shared" si="39"/>
        <v>2.3243565794935659</v>
      </c>
      <c r="K71" s="36">
        <f t="shared" si="40"/>
        <v>0.41566822005856141</v>
      </c>
      <c r="L71" s="26" t="s">
        <v>71</v>
      </c>
      <c r="M71" s="7">
        <v>3.1E-2</v>
      </c>
      <c r="N71" s="7">
        <f t="shared" si="41"/>
        <v>12786.195286195287</v>
      </c>
      <c r="O71" s="7">
        <f t="shared" si="42"/>
        <v>532.75813692480358</v>
      </c>
      <c r="P71" s="7">
        <f t="shared" si="43"/>
        <v>1.4596113340405577</v>
      </c>
      <c r="Q71" s="27">
        <f t="shared" si="44"/>
        <v>0.23425047499596313</v>
      </c>
    </row>
    <row r="72" spans="2:34" x14ac:dyDescent="0.3">
      <c r="B72" s="7">
        <f t="shared" si="35"/>
        <v>24.6</v>
      </c>
      <c r="C72" s="7">
        <f t="shared" si="25"/>
        <v>-24.6</v>
      </c>
      <c r="D72" s="7">
        <f t="shared" si="36"/>
        <v>1.0544366602753459</v>
      </c>
      <c r="F72" s="26" t="s">
        <v>72</v>
      </c>
      <c r="G72" s="7">
        <v>4.9000000000000002E-2</v>
      </c>
      <c r="H72" s="7">
        <f t="shared" si="37"/>
        <v>32184.090909090908</v>
      </c>
      <c r="I72" s="7">
        <f t="shared" si="38"/>
        <v>1341.0037878787878</v>
      </c>
      <c r="J72" s="7">
        <f t="shared" si="39"/>
        <v>3.6739829804898294</v>
      </c>
      <c r="K72" s="36">
        <f t="shared" si="40"/>
        <v>0.51958527507320174</v>
      </c>
      <c r="L72" s="26" t="s">
        <v>72</v>
      </c>
      <c r="M72" s="7">
        <v>4.9000000000000002E-2</v>
      </c>
      <c r="N72" s="7">
        <f t="shared" si="41"/>
        <v>20210.437710437713</v>
      </c>
      <c r="O72" s="7">
        <f t="shared" si="42"/>
        <v>842.10157126823799</v>
      </c>
      <c r="P72" s="7">
        <f t="shared" si="43"/>
        <v>2.3071275925157204</v>
      </c>
      <c r="Q72" s="27">
        <f t="shared" si="44"/>
        <v>0.2928130937449539</v>
      </c>
    </row>
    <row r="73" spans="2:34" x14ac:dyDescent="0.3">
      <c r="B73" s="7">
        <f t="shared" si="35"/>
        <v>25.45</v>
      </c>
      <c r="C73" s="7">
        <f t="shared" si="25"/>
        <v>-25.45</v>
      </c>
      <c r="D73" s="7">
        <f t="shared" si="36"/>
        <v>0.99337787136009492</v>
      </c>
      <c r="F73" s="26" t="s">
        <v>73</v>
      </c>
      <c r="G73" s="7">
        <v>7.0999999999999994E-2</v>
      </c>
      <c r="H73" s="7">
        <f t="shared" si="37"/>
        <v>46634.090909090897</v>
      </c>
      <c r="I73" s="7">
        <f t="shared" si="38"/>
        <v>1943.0871212121208</v>
      </c>
      <c r="J73" s="7">
        <f t="shared" si="39"/>
        <v>5.3235263594852622</v>
      </c>
      <c r="K73" s="36">
        <f t="shared" si="40"/>
        <v>0.62350233008784206</v>
      </c>
      <c r="L73" s="26" t="s">
        <v>73</v>
      </c>
      <c r="M73" s="7">
        <v>7.0999999999999994E-2</v>
      </c>
      <c r="N73" s="7">
        <f t="shared" si="41"/>
        <v>29284.511784511786</v>
      </c>
      <c r="O73" s="7">
        <f t="shared" si="42"/>
        <v>1220.1879910213245</v>
      </c>
      <c r="P73" s="7">
        <f t="shared" si="43"/>
        <v>3.3429807973186971</v>
      </c>
      <c r="Q73" s="27">
        <f t="shared" si="44"/>
        <v>0.35137571249394467</v>
      </c>
    </row>
    <row r="74" spans="2:34" x14ac:dyDescent="0.3">
      <c r="B74" s="7">
        <f t="shared" si="35"/>
        <v>26.3</v>
      </c>
      <c r="C74" s="7">
        <f t="shared" si="25"/>
        <v>-26.3</v>
      </c>
      <c r="D74" s="7">
        <f t="shared" si="36"/>
        <v>0.93726682853940546</v>
      </c>
      <c r="F74" s="26" t="s">
        <v>74</v>
      </c>
      <c r="G74" s="7">
        <v>9.6000000000000002E-2</v>
      </c>
      <c r="H74" s="7">
        <f t="shared" si="37"/>
        <v>63054.545454545449</v>
      </c>
      <c r="I74" s="7">
        <f t="shared" si="38"/>
        <v>2627.272727272727</v>
      </c>
      <c r="J74" s="7">
        <f t="shared" si="39"/>
        <v>7.1980074719800742</v>
      </c>
      <c r="K74" s="36">
        <f t="shared" si="40"/>
        <v>0.72741938510248239</v>
      </c>
      <c r="L74" s="26" t="s">
        <v>74</v>
      </c>
      <c r="M74" s="7">
        <v>9.6000000000000002E-2</v>
      </c>
      <c r="N74" s="7">
        <f t="shared" si="41"/>
        <v>39595.959595959597</v>
      </c>
      <c r="O74" s="7">
        <f t="shared" si="42"/>
        <v>1649.8316498316499</v>
      </c>
      <c r="P74" s="7">
        <f t="shared" si="43"/>
        <v>4.5200867118675339</v>
      </c>
      <c r="Q74" s="27">
        <f t="shared" si="44"/>
        <v>0.40993833124293544</v>
      </c>
    </row>
    <row r="75" spans="2:34" x14ac:dyDescent="0.3">
      <c r="B75" s="7">
        <f t="shared" si="35"/>
        <v>27.15</v>
      </c>
      <c r="C75" s="7">
        <f t="shared" si="25"/>
        <v>-27.15</v>
      </c>
      <c r="D75" s="7">
        <f t="shared" si="36"/>
        <v>0.88560506950984463</v>
      </c>
      <c r="F75" s="26" t="s">
        <v>75</v>
      </c>
      <c r="G75" s="7">
        <v>0.126</v>
      </c>
      <c r="H75" s="7">
        <f t="shared" si="37"/>
        <v>82759.090909090897</v>
      </c>
      <c r="I75" s="7">
        <f t="shared" si="38"/>
        <v>3448.295454545454</v>
      </c>
      <c r="J75" s="7">
        <f t="shared" si="39"/>
        <v>9.4473848069738473</v>
      </c>
      <c r="K75" s="36">
        <f t="shared" si="40"/>
        <v>0.83133644011712282</v>
      </c>
      <c r="L75" s="26" t="s">
        <v>75</v>
      </c>
      <c r="M75" s="7">
        <v>0.126</v>
      </c>
      <c r="N75" s="7">
        <f t="shared" si="41"/>
        <v>51969.696969696975</v>
      </c>
      <c r="O75" s="7">
        <f t="shared" si="42"/>
        <v>2165.4040404040406</v>
      </c>
      <c r="P75" s="7">
        <f t="shared" si="43"/>
        <v>5.9326138093261385</v>
      </c>
      <c r="Q75" s="27">
        <f t="shared" si="44"/>
        <v>0.46850094999192626</v>
      </c>
    </row>
    <row r="76" spans="2:34" x14ac:dyDescent="0.3">
      <c r="B76" s="7">
        <f t="shared" si="35"/>
        <v>28</v>
      </c>
      <c r="C76" s="7">
        <f t="shared" si="25"/>
        <v>-28</v>
      </c>
      <c r="D76" s="7">
        <f t="shared" si="36"/>
        <v>0.83795245980975441</v>
      </c>
      <c r="F76" s="26" t="s">
        <v>78</v>
      </c>
      <c r="G76" s="7">
        <v>0.159</v>
      </c>
      <c r="H76" s="7">
        <f t="shared" si="37"/>
        <v>104434.0909090909</v>
      </c>
      <c r="I76" s="7">
        <f t="shared" si="38"/>
        <v>4351.420454545454</v>
      </c>
      <c r="J76" s="7">
        <f t="shared" si="39"/>
        <v>11.921699875466997</v>
      </c>
      <c r="K76" s="36">
        <f t="shared" si="40"/>
        <v>0.93525349513176315</v>
      </c>
      <c r="L76" s="26" t="s">
        <v>78</v>
      </c>
      <c r="M76" s="7">
        <v>0.159</v>
      </c>
      <c r="N76" s="7">
        <f t="shared" si="41"/>
        <v>65580.808080808085</v>
      </c>
      <c r="O76" s="7">
        <f t="shared" si="42"/>
        <v>2732.5336700336702</v>
      </c>
      <c r="P76" s="7">
        <f t="shared" si="43"/>
        <v>7.4863936165306031</v>
      </c>
      <c r="Q76" s="27">
        <f t="shared" si="44"/>
        <v>0.52706356874091709</v>
      </c>
    </row>
    <row r="77" spans="2:34" x14ac:dyDescent="0.3">
      <c r="B77" s="7">
        <f t="shared" ref="B77:B86" si="45">U57</f>
        <v>28.7</v>
      </c>
      <c r="C77" s="7">
        <f t="shared" si="25"/>
        <v>-28.7</v>
      </c>
      <c r="D77" s="7">
        <f>AC57</f>
        <v>0.80144288501832883</v>
      </c>
      <c r="F77" s="26" t="s">
        <v>76</v>
      </c>
      <c r="G77" s="7">
        <v>0.19700000000000001</v>
      </c>
      <c r="H77" s="7">
        <f t="shared" si="37"/>
        <v>129393.18181818181</v>
      </c>
      <c r="I77" s="7">
        <f t="shared" si="38"/>
        <v>5391.3825757575751</v>
      </c>
      <c r="J77" s="7">
        <f t="shared" si="39"/>
        <v>14.77091116645911</v>
      </c>
      <c r="K77" s="36">
        <f t="shared" si="40"/>
        <v>1.0391705501464035</v>
      </c>
      <c r="L77" s="26" t="s">
        <v>76</v>
      </c>
      <c r="M77" s="7">
        <v>0.19700000000000001</v>
      </c>
      <c r="N77" s="7">
        <f t="shared" si="41"/>
        <v>81254.208754208754</v>
      </c>
      <c r="O77" s="7">
        <f t="shared" si="42"/>
        <v>3385.5920314253649</v>
      </c>
      <c r="P77" s="7">
        <f t="shared" si="43"/>
        <v>9.2755946066448356</v>
      </c>
      <c r="Q77" s="27">
        <f t="shared" si="44"/>
        <v>0.5856261874899078</v>
      </c>
    </row>
    <row r="78" spans="2:34" x14ac:dyDescent="0.3">
      <c r="B78" s="7">
        <f t="shared" si="45"/>
        <v>29.4</v>
      </c>
      <c r="C78" s="7">
        <f t="shared" si="25"/>
        <v>-29.4</v>
      </c>
      <c r="D78" s="7">
        <f t="shared" ref="D78:D86" si="46">AC58</f>
        <v>0.767192793669214</v>
      </c>
      <c r="F78" s="26" t="s">
        <v>79</v>
      </c>
      <c r="G78" s="7">
        <v>0.23799999999999999</v>
      </c>
      <c r="H78" s="7">
        <f t="shared" si="37"/>
        <v>156322.72727272726</v>
      </c>
      <c r="I78" s="7">
        <f t="shared" si="38"/>
        <v>6513.4469696969691</v>
      </c>
      <c r="J78" s="7">
        <f t="shared" si="39"/>
        <v>17.845060190950601</v>
      </c>
      <c r="K78" s="36">
        <f t="shared" si="40"/>
        <v>1.1430876051610439</v>
      </c>
      <c r="L78" s="26" t="s">
        <v>79</v>
      </c>
      <c r="M78" s="7">
        <v>0.23799999999999999</v>
      </c>
      <c r="N78" s="7">
        <f t="shared" si="41"/>
        <v>98164.983164983176</v>
      </c>
      <c r="O78" s="7">
        <f t="shared" si="42"/>
        <v>4090.2076318742988</v>
      </c>
      <c r="P78" s="7">
        <f t="shared" si="43"/>
        <v>11.206048306504929</v>
      </c>
      <c r="Q78" s="27">
        <f t="shared" si="44"/>
        <v>0.64418880623889874</v>
      </c>
    </row>
    <row r="79" spans="2:34" x14ac:dyDescent="0.3">
      <c r="B79" s="7">
        <f t="shared" si="45"/>
        <v>30.1</v>
      </c>
      <c r="C79" s="7">
        <f t="shared" si="25"/>
        <v>-30.1</v>
      </c>
      <c r="D79" s="7">
        <f t="shared" si="46"/>
        <v>0.73502570776756293</v>
      </c>
      <c r="F79" s="26" t="s">
        <v>77</v>
      </c>
      <c r="G79" s="7">
        <v>0.28699999999999998</v>
      </c>
      <c r="H79" s="7">
        <f t="shared" si="37"/>
        <v>188506.81818181815</v>
      </c>
      <c r="I79" s="7">
        <f t="shared" si="38"/>
        <v>7854.4507575757561</v>
      </c>
      <c r="J79" s="7">
        <f t="shared" si="39"/>
        <v>21.519043171440426</v>
      </c>
      <c r="K79" s="36">
        <f t="shared" si="40"/>
        <v>1.2470046601756841</v>
      </c>
      <c r="L79" s="26" t="s">
        <v>77</v>
      </c>
      <c r="M79" s="7">
        <v>0.28699999999999998</v>
      </c>
      <c r="N79" s="7">
        <f t="shared" si="41"/>
        <v>118375.42087542088</v>
      </c>
      <c r="O79" s="7">
        <f t="shared" si="42"/>
        <v>4932.3092031425367</v>
      </c>
      <c r="P79" s="7">
        <f t="shared" si="43"/>
        <v>13.513175899020649</v>
      </c>
      <c r="Q79" s="27">
        <f t="shared" si="44"/>
        <v>0.70275142498788934</v>
      </c>
    </row>
    <row r="80" spans="2:34" x14ac:dyDescent="0.3">
      <c r="B80" s="7">
        <f t="shared" si="45"/>
        <v>30.8</v>
      </c>
      <c r="C80" s="7">
        <f t="shared" si="25"/>
        <v>-30.8</v>
      </c>
      <c r="D80" s="7">
        <f t="shared" si="46"/>
        <v>0.70478142229465246</v>
      </c>
      <c r="F80" s="26" t="s">
        <v>80</v>
      </c>
      <c r="G80" s="7">
        <v>0.34200000000000003</v>
      </c>
      <c r="H80" s="7">
        <f t="shared" si="37"/>
        <v>224631.81818181818</v>
      </c>
      <c r="I80" s="7">
        <f t="shared" si="38"/>
        <v>9359.6590909090901</v>
      </c>
      <c r="J80" s="7">
        <f t="shared" si="39"/>
        <v>25.642901618929013</v>
      </c>
      <c r="K80" s="36">
        <f t="shared" si="40"/>
        <v>1.3509217151903246</v>
      </c>
      <c r="L80" s="26" t="s">
        <v>80</v>
      </c>
      <c r="M80" s="7">
        <v>0.34200000000000003</v>
      </c>
      <c r="N80" s="7">
        <f t="shared" si="41"/>
        <v>141060.60606060608</v>
      </c>
      <c r="O80" s="7">
        <f t="shared" si="42"/>
        <v>5877.5252525252536</v>
      </c>
      <c r="P80" s="7">
        <f t="shared" si="43"/>
        <v>16.102808911028092</v>
      </c>
      <c r="Q80" s="27">
        <f t="shared" si="44"/>
        <v>0.76131404373688016</v>
      </c>
    </row>
    <row r="81" spans="2:17" x14ac:dyDescent="0.3">
      <c r="B81" s="7">
        <f t="shared" si="45"/>
        <v>31.5</v>
      </c>
      <c r="C81" s="7">
        <f t="shared" si="25"/>
        <v>-31.5</v>
      </c>
      <c r="D81" s="7">
        <f t="shared" si="46"/>
        <v>0.67631431265866582</v>
      </c>
      <c r="F81" s="26" t="s">
        <v>81</v>
      </c>
      <c r="G81" s="7">
        <v>0.40200000000000002</v>
      </c>
      <c r="H81" s="7">
        <f t="shared" si="37"/>
        <v>264040.90909090906</v>
      </c>
      <c r="I81" s="7">
        <f t="shared" si="38"/>
        <v>11001.704545454544</v>
      </c>
      <c r="J81" s="7">
        <f t="shared" si="39"/>
        <v>30.141656288916558</v>
      </c>
      <c r="K81" s="36">
        <f t="shared" si="40"/>
        <v>1.4548387702049648</v>
      </c>
      <c r="L81" s="26" t="s">
        <v>81</v>
      </c>
      <c r="M81" s="7">
        <v>0.40200000000000002</v>
      </c>
      <c r="N81" s="7">
        <f t="shared" si="41"/>
        <v>165808.08080808082</v>
      </c>
      <c r="O81" s="7">
        <f t="shared" si="42"/>
        <v>6908.6700336700342</v>
      </c>
      <c r="P81" s="7">
        <f t="shared" si="43"/>
        <v>18.927863105945299</v>
      </c>
      <c r="Q81" s="27">
        <f t="shared" si="44"/>
        <v>0.81987666248587088</v>
      </c>
    </row>
    <row r="82" spans="2:17" x14ac:dyDescent="0.3">
      <c r="B82" s="7">
        <f t="shared" si="45"/>
        <v>32.200000000000003</v>
      </c>
      <c r="C82" s="7">
        <f t="shared" si="25"/>
        <v>-32.200000000000003</v>
      </c>
      <c r="D82" s="7">
        <f t="shared" si="46"/>
        <v>0.64949183345386319</v>
      </c>
      <c r="F82" s="26" t="s">
        <v>82</v>
      </c>
      <c r="G82" s="7">
        <v>0.47699999999999998</v>
      </c>
      <c r="H82" s="7">
        <f t="shared" si="37"/>
        <v>313302.27272727271</v>
      </c>
      <c r="I82" s="7">
        <f t="shared" si="38"/>
        <v>13054.261363636362</v>
      </c>
      <c r="J82" s="7">
        <f t="shared" si="39"/>
        <v>35.765099626400989</v>
      </c>
      <c r="K82" s="36">
        <f t="shared" si="40"/>
        <v>1.5587558252196052</v>
      </c>
      <c r="L82" s="26" t="s">
        <v>82</v>
      </c>
      <c r="M82" s="7">
        <v>0.47699999999999998</v>
      </c>
      <c r="N82" s="7">
        <f t="shared" si="41"/>
        <v>196742.42424242425</v>
      </c>
      <c r="O82" s="7">
        <f t="shared" si="42"/>
        <v>8197.6010101010106</v>
      </c>
      <c r="P82" s="7">
        <f t="shared" si="43"/>
        <v>22.45918084959181</v>
      </c>
      <c r="Q82" s="27">
        <f t="shared" si="44"/>
        <v>0.87843928123486181</v>
      </c>
    </row>
    <row r="83" spans="2:17" x14ac:dyDescent="0.3">
      <c r="B83" s="7">
        <f t="shared" si="45"/>
        <v>32.9</v>
      </c>
      <c r="C83" s="7">
        <f t="shared" si="25"/>
        <v>-32.9</v>
      </c>
      <c r="D83" s="7">
        <f t="shared" si="46"/>
        <v>0.62419318591094908</v>
      </c>
      <c r="F83" s="26" t="s">
        <v>83</v>
      </c>
      <c r="G83" s="7">
        <v>0.56499999999999995</v>
      </c>
      <c r="H83" s="7">
        <f t="shared" si="37"/>
        <v>371102.27272727265</v>
      </c>
      <c r="I83" s="7">
        <f t="shared" si="38"/>
        <v>15462.594696969694</v>
      </c>
      <c r="J83" s="7">
        <f t="shared" si="39"/>
        <v>42.363273142382724</v>
      </c>
      <c r="K83" s="36">
        <f t="shared" si="40"/>
        <v>1.6626728802342456</v>
      </c>
      <c r="L83" s="26" t="s">
        <v>83</v>
      </c>
      <c r="M83" s="7">
        <v>0.56499999999999995</v>
      </c>
      <c r="N83" s="7">
        <f t="shared" si="41"/>
        <v>233038.72053872055</v>
      </c>
      <c r="O83" s="7">
        <f t="shared" si="42"/>
        <v>9709.9466891133561</v>
      </c>
      <c r="P83" s="7">
        <f t="shared" si="43"/>
        <v>26.602593668803717</v>
      </c>
      <c r="Q83" s="27">
        <f t="shared" si="44"/>
        <v>0.93700189998385253</v>
      </c>
    </row>
    <row r="84" spans="2:17" x14ac:dyDescent="0.3">
      <c r="B84" s="7">
        <f t="shared" si="45"/>
        <v>33.6</v>
      </c>
      <c r="C84" s="7">
        <f t="shared" si="25"/>
        <v>-33.6</v>
      </c>
      <c r="D84" s="7">
        <f t="shared" si="46"/>
        <v>0.60030813407146844</v>
      </c>
      <c r="F84" s="26" t="s">
        <v>84</v>
      </c>
      <c r="G84" s="7">
        <v>0.68400000000000005</v>
      </c>
      <c r="H84" s="7">
        <f t="shared" si="37"/>
        <v>449263.63636363635</v>
      </c>
      <c r="I84" s="7">
        <f t="shared" si="38"/>
        <v>18719.31818181818</v>
      </c>
      <c r="J84" s="7">
        <f t="shared" si="39"/>
        <v>51.285803237858026</v>
      </c>
      <c r="K84" s="36">
        <f t="shared" si="40"/>
        <v>1.7665899352488859</v>
      </c>
      <c r="L84" s="26" t="s">
        <v>84</v>
      </c>
      <c r="M84" s="7">
        <v>0.68400000000000005</v>
      </c>
      <c r="N84" s="7">
        <f t="shared" si="41"/>
        <v>282121.21212121216</v>
      </c>
      <c r="O84" s="7">
        <f t="shared" si="42"/>
        <v>11755.050505050507</v>
      </c>
      <c r="P84" s="7">
        <f t="shared" si="43"/>
        <v>32.205617822056183</v>
      </c>
      <c r="Q84" s="27">
        <f t="shared" si="44"/>
        <v>0.99556451873284324</v>
      </c>
    </row>
    <row r="85" spans="2:17" x14ac:dyDescent="0.3">
      <c r="B85" s="7">
        <f t="shared" si="45"/>
        <v>34.299999999999997</v>
      </c>
      <c r="C85" s="7">
        <f t="shared" si="25"/>
        <v>-34.299999999999997</v>
      </c>
      <c r="D85" s="7">
        <f t="shared" si="46"/>
        <v>0.57773595209567075</v>
      </c>
      <c r="F85" s="26" t="s">
        <v>85</v>
      </c>
      <c r="G85" s="7">
        <v>0.84799999999999998</v>
      </c>
      <c r="H85" s="7">
        <f t="shared" si="37"/>
        <v>556981.81818181812</v>
      </c>
      <c r="I85" s="7">
        <f t="shared" si="38"/>
        <v>23207.575757575756</v>
      </c>
      <c r="J85" s="7">
        <f t="shared" si="39"/>
        <v>63.582399335823986</v>
      </c>
      <c r="K85" s="36">
        <f t="shared" si="40"/>
        <v>1.8705069902635263</v>
      </c>
      <c r="L85" s="26" t="s">
        <v>85</v>
      </c>
      <c r="M85" s="7">
        <v>0.84799999999999998</v>
      </c>
      <c r="N85" s="7">
        <f t="shared" si="41"/>
        <v>349764.30976430979</v>
      </c>
      <c r="O85" s="7">
        <f t="shared" si="42"/>
        <v>14573.512906846241</v>
      </c>
      <c r="P85" s="7">
        <f t="shared" si="43"/>
        <v>39.92743262149655</v>
      </c>
      <c r="Q85" s="27">
        <f t="shared" si="44"/>
        <v>1.0541271374818342</v>
      </c>
    </row>
    <row r="86" spans="2:17" ht="15" thickBot="1" x14ac:dyDescent="0.35">
      <c r="B86" s="7">
        <f t="shared" si="45"/>
        <v>35</v>
      </c>
      <c r="C86" s="7">
        <f t="shared" si="25"/>
        <v>-35</v>
      </c>
      <c r="D86" s="7">
        <f t="shared" si="46"/>
        <v>0.55638448722999811</v>
      </c>
      <c r="F86" s="28" t="s">
        <v>86</v>
      </c>
      <c r="G86" s="29">
        <v>1.127</v>
      </c>
      <c r="H86" s="29">
        <f t="shared" si="37"/>
        <v>740234.09090909082</v>
      </c>
      <c r="I86" s="29">
        <f t="shared" si="38"/>
        <v>30843.087121212116</v>
      </c>
      <c r="J86" s="29">
        <f t="shared" si="39"/>
        <v>84.501608551266074</v>
      </c>
      <c r="K86" s="37">
        <f t="shared" si="40"/>
        <v>1.9744240452781665</v>
      </c>
      <c r="L86" s="28" t="s">
        <v>86</v>
      </c>
      <c r="M86" s="29">
        <v>1.127</v>
      </c>
      <c r="N86" s="29">
        <f t="shared" si="41"/>
        <v>464840.06734006735</v>
      </c>
      <c r="O86" s="29">
        <f t="shared" si="42"/>
        <v>19368.336139169474</v>
      </c>
      <c r="P86" s="29">
        <f t="shared" si="43"/>
        <v>53.06393462786157</v>
      </c>
      <c r="Q86" s="30">
        <f t="shared" si="44"/>
        <v>1.1126897562308247</v>
      </c>
    </row>
  </sheetData>
  <mergeCells count="37">
    <mergeCell ref="D31:D32"/>
    <mergeCell ref="B33:D34"/>
    <mergeCell ref="B35:D35"/>
    <mergeCell ref="B41:C42"/>
    <mergeCell ref="D41:D42"/>
    <mergeCell ref="B31:C32"/>
    <mergeCell ref="B45:D45"/>
    <mergeCell ref="B46:C46"/>
    <mergeCell ref="T38:AG39"/>
    <mergeCell ref="T55:AG56"/>
    <mergeCell ref="F43:K43"/>
    <mergeCell ref="L43:Q43"/>
    <mergeCell ref="F40:Q42"/>
    <mergeCell ref="F66:K66"/>
    <mergeCell ref="L66:Q66"/>
    <mergeCell ref="F7:I7"/>
    <mergeCell ref="F8:G8"/>
    <mergeCell ref="T3:AG4"/>
    <mergeCell ref="T19:AG20"/>
    <mergeCell ref="F2:I3"/>
    <mergeCell ref="F4:G4"/>
    <mergeCell ref="F5:G5"/>
    <mergeCell ref="M12:N12"/>
    <mergeCell ref="P12:Q12"/>
    <mergeCell ref="M16:N16"/>
    <mergeCell ref="P16:Q16"/>
    <mergeCell ref="B2:D3"/>
    <mergeCell ref="B4:D4"/>
    <mergeCell ref="B13:D14"/>
    <mergeCell ref="B23:D24"/>
    <mergeCell ref="B25:D25"/>
    <mergeCell ref="B11:C12"/>
    <mergeCell ref="D11:D12"/>
    <mergeCell ref="B21:C22"/>
    <mergeCell ref="D21:D22"/>
    <mergeCell ref="B5:D5"/>
    <mergeCell ref="B15:D15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BF04-552B-4889-ABDA-3FB2DAE33667}">
  <dimension ref="B2:I73"/>
  <sheetViews>
    <sheetView zoomScale="70" zoomScaleNormal="70" workbookViewId="0">
      <selection activeCell="J12" sqref="J12"/>
    </sheetView>
  </sheetViews>
  <sheetFormatPr baseColWidth="10" defaultRowHeight="14.4" x14ac:dyDescent="0.3"/>
  <cols>
    <col min="1" max="1" width="11.5546875" style="15"/>
    <col min="2" max="2" width="23.109375" style="15" customWidth="1"/>
    <col min="3" max="4" width="11.5546875" style="15"/>
    <col min="5" max="5" width="3.88671875" style="15" customWidth="1"/>
    <col min="6" max="6" width="15.109375" style="15" customWidth="1"/>
    <col min="7" max="7" width="14" style="15" customWidth="1"/>
    <col min="8" max="10" width="11.5546875" style="15"/>
    <col min="11" max="11" width="15.109375" style="15" customWidth="1"/>
    <col min="12" max="12" width="11.6640625" style="15" customWidth="1"/>
    <col min="13" max="13" width="12.5546875" style="15" customWidth="1"/>
    <col min="14" max="14" width="12.5546875" style="15" bestFit="1" customWidth="1"/>
    <col min="15" max="16" width="11.5546875" style="15"/>
    <col min="17" max="17" width="18.21875" style="15" customWidth="1"/>
    <col min="18" max="16384" width="11.5546875" style="15"/>
  </cols>
  <sheetData>
    <row r="2" spans="2:9" x14ac:dyDescent="0.3">
      <c r="B2" s="38" t="s">
        <v>13</v>
      </c>
      <c r="C2" s="38"/>
      <c r="D2" s="38"/>
      <c r="F2" s="48" t="s">
        <v>108</v>
      </c>
      <c r="G2" s="48"/>
      <c r="H2" s="48"/>
      <c r="I2" s="48"/>
    </row>
    <row r="3" spans="2:9" ht="14.4" customHeight="1" x14ac:dyDescent="0.3">
      <c r="B3" s="38"/>
      <c r="C3" s="38"/>
      <c r="D3" s="38"/>
      <c r="F3" s="48"/>
      <c r="G3" s="48"/>
      <c r="H3" s="48"/>
      <c r="I3" s="48"/>
    </row>
    <row r="4" spans="2:9" ht="14.4" customHeight="1" x14ac:dyDescent="0.3">
      <c r="B4" s="39"/>
      <c r="C4" s="39"/>
      <c r="D4" s="39"/>
      <c r="F4" s="40" t="s">
        <v>109</v>
      </c>
      <c r="G4" s="40"/>
      <c r="H4" s="7">
        <v>0.75</v>
      </c>
      <c r="I4" s="7" t="s">
        <v>7</v>
      </c>
    </row>
    <row r="5" spans="2:9" x14ac:dyDescent="0.3">
      <c r="B5" s="41" t="s">
        <v>1</v>
      </c>
      <c r="C5" s="41"/>
      <c r="D5" s="41"/>
    </row>
    <row r="6" spans="2:9" x14ac:dyDescent="0.3">
      <c r="B6" s="7" t="s">
        <v>116</v>
      </c>
      <c r="C6" s="7">
        <v>1.57</v>
      </c>
      <c r="D6" s="7" t="s">
        <v>113</v>
      </c>
    </row>
    <row r="7" spans="2:9" x14ac:dyDescent="0.3">
      <c r="B7" s="7" t="s">
        <v>114</v>
      </c>
      <c r="C7" s="7">
        <v>3.92</v>
      </c>
      <c r="D7" s="7" t="s">
        <v>32</v>
      </c>
      <c r="F7" s="46" t="s">
        <v>110</v>
      </c>
      <c r="G7" s="46"/>
      <c r="H7" s="46"/>
      <c r="I7" s="46"/>
    </row>
    <row r="8" spans="2:9" x14ac:dyDescent="0.3">
      <c r="B8" s="7" t="s">
        <v>115</v>
      </c>
      <c r="C8" s="7">
        <v>0</v>
      </c>
      <c r="D8" s="7" t="s">
        <v>117</v>
      </c>
      <c r="F8" s="40" t="s">
        <v>112</v>
      </c>
      <c r="G8" s="40"/>
      <c r="H8" s="17">
        <v>8.5</v>
      </c>
      <c r="I8" s="7" t="s">
        <v>111</v>
      </c>
    </row>
    <row r="9" spans="2:9" x14ac:dyDescent="0.3">
      <c r="B9" s="7" t="s">
        <v>118</v>
      </c>
      <c r="C9" s="7">
        <v>6</v>
      </c>
      <c r="D9" s="7" t="s">
        <v>7</v>
      </c>
    </row>
    <row r="10" spans="2:9" x14ac:dyDescent="0.3">
      <c r="B10" s="64" t="s">
        <v>119</v>
      </c>
      <c r="C10" s="7">
        <v>6</v>
      </c>
      <c r="D10" s="7" t="s">
        <v>7</v>
      </c>
      <c r="F10" s="83" t="s">
        <v>120</v>
      </c>
      <c r="G10" s="83"/>
      <c r="H10" s="83"/>
    </row>
    <row r="11" spans="2:9" ht="14.4" customHeight="1" thickBot="1" x14ac:dyDescent="0.35">
      <c r="B11" s="65"/>
      <c r="C11" s="66"/>
      <c r="D11" s="67"/>
      <c r="F11" s="84"/>
      <c r="G11" s="84"/>
      <c r="H11" s="84"/>
    </row>
    <row r="12" spans="2:9" ht="16.8" customHeight="1" x14ac:dyDescent="0.3">
      <c r="B12" s="68"/>
      <c r="C12" s="69"/>
      <c r="D12" s="70"/>
      <c r="F12" s="75" t="s">
        <v>121</v>
      </c>
      <c r="G12" s="76" t="s">
        <v>122</v>
      </c>
      <c r="H12" s="77" t="s">
        <v>123</v>
      </c>
    </row>
    <row r="13" spans="2:9" ht="16.8" customHeight="1" x14ac:dyDescent="0.3">
      <c r="B13" s="71"/>
      <c r="C13" s="63"/>
      <c r="D13" s="72"/>
      <c r="F13" s="78">
        <v>0</v>
      </c>
      <c r="G13" s="16">
        <v>0</v>
      </c>
      <c r="H13" s="79">
        <v>0</v>
      </c>
    </row>
    <row r="14" spans="2:9" x14ac:dyDescent="0.3">
      <c r="B14" s="73"/>
      <c r="C14" s="39"/>
      <c r="D14" s="74"/>
      <c r="F14" s="78">
        <v>0.1</v>
      </c>
      <c r="G14" s="16">
        <f>F14*$C$9</f>
        <v>0.60000000000000009</v>
      </c>
      <c r="H14" s="79">
        <f>G14*$C$6</f>
        <v>0.94200000000000017</v>
      </c>
    </row>
    <row r="15" spans="2:9" x14ac:dyDescent="0.3">
      <c r="B15" s="41" t="s">
        <v>0</v>
      </c>
      <c r="C15" s="41"/>
      <c r="D15" s="41"/>
      <c r="F15" s="78">
        <v>0.2</v>
      </c>
      <c r="G15" s="16">
        <f t="shared" ref="G15:G23" si="0">F15*$C$9</f>
        <v>1.2000000000000002</v>
      </c>
      <c r="H15" s="79">
        <f t="shared" ref="H15:H23" si="1">G15*$C$6</f>
        <v>1.8840000000000003</v>
      </c>
    </row>
    <row r="16" spans="2:9" x14ac:dyDescent="0.3">
      <c r="B16" s="7" t="s">
        <v>116</v>
      </c>
      <c r="C16" s="7">
        <v>1.22</v>
      </c>
      <c r="D16" s="7" t="s">
        <v>113</v>
      </c>
      <c r="F16" s="78">
        <v>0.3</v>
      </c>
      <c r="G16" s="16">
        <f t="shared" si="0"/>
        <v>1.7999999999999998</v>
      </c>
      <c r="H16" s="79">
        <f t="shared" si="1"/>
        <v>2.8259999999999996</v>
      </c>
    </row>
    <row r="17" spans="2:8" x14ac:dyDescent="0.3">
      <c r="B17" s="7" t="s">
        <v>114</v>
      </c>
      <c r="C17" s="7">
        <v>2.91</v>
      </c>
      <c r="D17" s="7" t="s">
        <v>32</v>
      </c>
      <c r="F17" s="78">
        <v>0.4</v>
      </c>
      <c r="G17" s="16">
        <f t="shared" si="0"/>
        <v>2.4000000000000004</v>
      </c>
      <c r="H17" s="79">
        <f t="shared" si="1"/>
        <v>3.7680000000000007</v>
      </c>
    </row>
    <row r="18" spans="2:8" x14ac:dyDescent="0.3">
      <c r="B18" s="7" t="s">
        <v>115</v>
      </c>
      <c r="C18" s="7">
        <v>0</v>
      </c>
      <c r="D18" s="7" t="s">
        <v>117</v>
      </c>
      <c r="F18" s="78">
        <v>0.5</v>
      </c>
      <c r="G18" s="16">
        <f t="shared" si="0"/>
        <v>3</v>
      </c>
      <c r="H18" s="79">
        <f t="shared" si="1"/>
        <v>4.71</v>
      </c>
    </row>
    <row r="19" spans="2:8" x14ac:dyDescent="0.3">
      <c r="B19" s="7" t="s">
        <v>118</v>
      </c>
      <c r="C19" s="7">
        <v>8</v>
      </c>
      <c r="D19" s="7" t="s">
        <v>7</v>
      </c>
      <c r="F19" s="78">
        <v>0.6</v>
      </c>
      <c r="G19" s="16">
        <f t="shared" si="0"/>
        <v>3.5999999999999996</v>
      </c>
      <c r="H19" s="79">
        <f t="shared" si="1"/>
        <v>5.6519999999999992</v>
      </c>
    </row>
    <row r="20" spans="2:8" x14ac:dyDescent="0.3">
      <c r="B20" s="64" t="s">
        <v>119</v>
      </c>
      <c r="C20" s="7">
        <v>8</v>
      </c>
      <c r="D20" s="7" t="s">
        <v>7</v>
      </c>
      <c r="F20" s="78">
        <v>0.7</v>
      </c>
      <c r="G20" s="16">
        <f t="shared" si="0"/>
        <v>4.1999999999999993</v>
      </c>
      <c r="H20" s="79">
        <f t="shared" si="1"/>
        <v>6.5939999999999994</v>
      </c>
    </row>
    <row r="21" spans="2:8" x14ac:dyDescent="0.3">
      <c r="B21" s="65"/>
      <c r="C21" s="66"/>
      <c r="D21" s="67"/>
      <c r="F21" s="78">
        <v>0.8</v>
      </c>
      <c r="G21" s="16">
        <f t="shared" si="0"/>
        <v>4.8000000000000007</v>
      </c>
      <c r="H21" s="79">
        <f t="shared" si="1"/>
        <v>7.5360000000000014</v>
      </c>
    </row>
    <row r="22" spans="2:8" x14ac:dyDescent="0.3">
      <c r="B22" s="68"/>
      <c r="C22" s="69"/>
      <c r="D22" s="70"/>
      <c r="F22" s="78">
        <v>0.9</v>
      </c>
      <c r="G22" s="16">
        <f t="shared" si="0"/>
        <v>5.4</v>
      </c>
      <c r="H22" s="79">
        <f t="shared" si="1"/>
        <v>8.4780000000000015</v>
      </c>
    </row>
    <row r="23" spans="2:8" x14ac:dyDescent="0.3">
      <c r="B23" s="71"/>
      <c r="C23" s="63"/>
      <c r="D23" s="72"/>
      <c r="F23" s="78">
        <v>1</v>
      </c>
      <c r="G23" s="16">
        <f t="shared" si="0"/>
        <v>6</v>
      </c>
      <c r="H23" s="79">
        <f t="shared" si="1"/>
        <v>9.42</v>
      </c>
    </row>
    <row r="24" spans="2:8" x14ac:dyDescent="0.3">
      <c r="B24" s="73"/>
      <c r="C24" s="39"/>
      <c r="D24" s="74"/>
      <c r="F24" s="78">
        <v>0.1</v>
      </c>
      <c r="G24" s="16">
        <f>F24*$C$19</f>
        <v>0.8</v>
      </c>
      <c r="H24" s="79">
        <f>H23+(G24*$C$16)</f>
        <v>10.396000000000001</v>
      </c>
    </row>
    <row r="25" spans="2:8" x14ac:dyDescent="0.3">
      <c r="B25" s="41" t="s">
        <v>11</v>
      </c>
      <c r="C25" s="41"/>
      <c r="D25" s="41"/>
      <c r="F25" s="78">
        <v>0.2</v>
      </c>
      <c r="G25" s="16">
        <f t="shared" ref="G25:G33" si="2">F25*$C$19</f>
        <v>1.6</v>
      </c>
      <c r="H25" s="79">
        <f t="shared" ref="H25:H33" si="3">H24+(G25*$C$16)</f>
        <v>12.348000000000001</v>
      </c>
    </row>
    <row r="26" spans="2:8" x14ac:dyDescent="0.3">
      <c r="B26" s="7" t="s">
        <v>116</v>
      </c>
      <c r="C26" s="7">
        <v>1.45</v>
      </c>
      <c r="D26" s="7" t="s">
        <v>113</v>
      </c>
      <c r="F26" s="78">
        <v>0.3</v>
      </c>
      <c r="G26" s="16">
        <f t="shared" si="2"/>
        <v>2.4</v>
      </c>
      <c r="H26" s="79">
        <f t="shared" si="3"/>
        <v>15.276</v>
      </c>
    </row>
    <row r="27" spans="2:8" x14ac:dyDescent="0.3">
      <c r="B27" s="7" t="s">
        <v>114</v>
      </c>
      <c r="C27" s="7">
        <v>3.15</v>
      </c>
      <c r="D27" s="7" t="s">
        <v>32</v>
      </c>
      <c r="F27" s="78">
        <v>0.4</v>
      </c>
      <c r="G27" s="16">
        <f t="shared" si="2"/>
        <v>3.2</v>
      </c>
      <c r="H27" s="79">
        <f t="shared" si="3"/>
        <v>19.18</v>
      </c>
    </row>
    <row r="28" spans="2:8" x14ac:dyDescent="0.3">
      <c r="B28" s="7" t="s">
        <v>115</v>
      </c>
      <c r="C28" s="7">
        <v>5</v>
      </c>
      <c r="D28" s="7" t="s">
        <v>117</v>
      </c>
      <c r="F28" s="78">
        <v>0.5</v>
      </c>
      <c r="G28" s="16">
        <f t="shared" si="2"/>
        <v>4</v>
      </c>
      <c r="H28" s="79">
        <f t="shared" si="3"/>
        <v>24.06</v>
      </c>
    </row>
    <row r="29" spans="2:8" x14ac:dyDescent="0.3">
      <c r="B29" s="7" t="s">
        <v>118</v>
      </c>
      <c r="C29" s="7">
        <v>9</v>
      </c>
      <c r="D29" s="7" t="s">
        <v>7</v>
      </c>
      <c r="F29" s="78">
        <v>0.6</v>
      </c>
      <c r="G29" s="16">
        <f t="shared" si="2"/>
        <v>4.8</v>
      </c>
      <c r="H29" s="79">
        <f t="shared" si="3"/>
        <v>29.915999999999997</v>
      </c>
    </row>
    <row r="30" spans="2:8" x14ac:dyDescent="0.3">
      <c r="B30" s="64" t="s">
        <v>119</v>
      </c>
      <c r="C30" s="7">
        <v>6</v>
      </c>
      <c r="D30" s="7" t="s">
        <v>7</v>
      </c>
      <c r="F30" s="78">
        <v>0.7</v>
      </c>
      <c r="G30" s="16">
        <f t="shared" si="2"/>
        <v>5.6</v>
      </c>
      <c r="H30" s="79">
        <f t="shared" si="3"/>
        <v>36.747999999999998</v>
      </c>
    </row>
    <row r="31" spans="2:8" x14ac:dyDescent="0.3">
      <c r="B31" s="65"/>
      <c r="C31" s="66"/>
      <c r="D31" s="67"/>
      <c r="F31" s="78">
        <v>0.8</v>
      </c>
      <c r="G31" s="16">
        <f t="shared" si="2"/>
        <v>6.4</v>
      </c>
      <c r="H31" s="79">
        <f t="shared" si="3"/>
        <v>44.555999999999997</v>
      </c>
    </row>
    <row r="32" spans="2:8" x14ac:dyDescent="0.3">
      <c r="B32" s="68"/>
      <c r="C32" s="69"/>
      <c r="D32" s="70"/>
      <c r="F32" s="78">
        <v>0.9</v>
      </c>
      <c r="G32" s="16">
        <f t="shared" si="2"/>
        <v>7.2</v>
      </c>
      <c r="H32" s="79">
        <f t="shared" si="3"/>
        <v>53.339999999999996</v>
      </c>
    </row>
    <row r="33" spans="2:8" x14ac:dyDescent="0.3">
      <c r="B33" s="40"/>
      <c r="C33" s="40"/>
      <c r="D33" s="40"/>
      <c r="F33" s="78">
        <v>1</v>
      </c>
      <c r="G33" s="16">
        <f t="shared" si="2"/>
        <v>8</v>
      </c>
      <c r="H33" s="79">
        <f t="shared" si="3"/>
        <v>63.099999999999994</v>
      </c>
    </row>
    <row r="34" spans="2:8" x14ac:dyDescent="0.3">
      <c r="B34" s="40"/>
      <c r="C34" s="40"/>
      <c r="D34" s="40"/>
      <c r="F34" s="78">
        <v>0.1</v>
      </c>
      <c r="G34" s="16">
        <f>F34*$C$29</f>
        <v>0.9</v>
      </c>
      <c r="H34" s="79">
        <f>H33+(G34*$C$26)</f>
        <v>64.405000000000001</v>
      </c>
    </row>
    <row r="35" spans="2:8" x14ac:dyDescent="0.3">
      <c r="B35" s="41" t="s">
        <v>12</v>
      </c>
      <c r="C35" s="41"/>
      <c r="D35" s="41"/>
      <c r="F35" s="78">
        <v>0.2</v>
      </c>
      <c r="G35" s="16">
        <f t="shared" ref="G35:G43" si="4">F35*$C$29</f>
        <v>1.8</v>
      </c>
      <c r="H35" s="79">
        <f t="shared" ref="H35:H43" si="5">H34+(G35*$C$26)</f>
        <v>67.015000000000001</v>
      </c>
    </row>
    <row r="36" spans="2:8" x14ac:dyDescent="0.3">
      <c r="B36" s="7" t="s">
        <v>116</v>
      </c>
      <c r="C36" s="7">
        <v>0</v>
      </c>
      <c r="D36" s="7" t="s">
        <v>113</v>
      </c>
      <c r="F36" s="78">
        <v>0.3</v>
      </c>
      <c r="G36" s="16">
        <f t="shared" si="4"/>
        <v>2.6999999999999997</v>
      </c>
      <c r="H36" s="79">
        <f t="shared" si="5"/>
        <v>70.930000000000007</v>
      </c>
    </row>
    <row r="37" spans="2:8" x14ac:dyDescent="0.3">
      <c r="B37" s="7" t="s">
        <v>114</v>
      </c>
      <c r="C37" s="7">
        <v>0</v>
      </c>
      <c r="D37" s="7" t="s">
        <v>32</v>
      </c>
      <c r="F37" s="78">
        <v>0.4</v>
      </c>
      <c r="G37" s="16">
        <f t="shared" si="4"/>
        <v>3.6</v>
      </c>
      <c r="H37" s="79">
        <f t="shared" si="5"/>
        <v>76.150000000000006</v>
      </c>
    </row>
    <row r="38" spans="2:8" x14ac:dyDescent="0.3">
      <c r="B38" s="7" t="s">
        <v>115</v>
      </c>
      <c r="C38" s="7">
        <v>0</v>
      </c>
      <c r="D38" s="7" t="s">
        <v>117</v>
      </c>
      <c r="F38" s="78">
        <v>0.5</v>
      </c>
      <c r="G38" s="16">
        <f t="shared" si="4"/>
        <v>4.5</v>
      </c>
      <c r="H38" s="79">
        <f t="shared" si="5"/>
        <v>82.675000000000011</v>
      </c>
    </row>
    <row r="39" spans="2:8" x14ac:dyDescent="0.3">
      <c r="B39" s="7" t="s">
        <v>118</v>
      </c>
      <c r="C39" s="7">
        <v>0</v>
      </c>
      <c r="D39" s="7" t="s">
        <v>7</v>
      </c>
      <c r="F39" s="78">
        <v>0.6</v>
      </c>
      <c r="G39" s="16">
        <f t="shared" si="4"/>
        <v>5.3999999999999995</v>
      </c>
      <c r="H39" s="79">
        <f t="shared" si="5"/>
        <v>90.50500000000001</v>
      </c>
    </row>
    <row r="40" spans="2:8" ht="16.8" customHeight="1" x14ac:dyDescent="0.3">
      <c r="B40" s="64" t="s">
        <v>119</v>
      </c>
      <c r="C40" s="7">
        <v>0</v>
      </c>
      <c r="D40" s="7" t="s">
        <v>7</v>
      </c>
      <c r="F40" s="78">
        <v>0.7</v>
      </c>
      <c r="G40" s="16">
        <f t="shared" si="4"/>
        <v>6.3</v>
      </c>
      <c r="H40" s="79">
        <f t="shared" si="5"/>
        <v>99.640000000000015</v>
      </c>
    </row>
    <row r="41" spans="2:8" ht="16.8" customHeight="1" x14ac:dyDescent="0.3">
      <c r="B41" s="65"/>
      <c r="C41" s="66"/>
      <c r="D41" s="67"/>
      <c r="F41" s="78">
        <v>0.8</v>
      </c>
      <c r="G41" s="16">
        <f t="shared" si="4"/>
        <v>7.2</v>
      </c>
      <c r="H41" s="79">
        <f t="shared" si="5"/>
        <v>110.08000000000001</v>
      </c>
    </row>
    <row r="42" spans="2:8" ht="17.399999999999999" customHeight="1" x14ac:dyDescent="0.3">
      <c r="B42" s="68"/>
      <c r="C42" s="69"/>
      <c r="D42" s="70"/>
      <c r="F42" s="78">
        <v>0.9</v>
      </c>
      <c r="G42" s="16">
        <f t="shared" si="4"/>
        <v>8.1</v>
      </c>
      <c r="H42" s="79">
        <f t="shared" si="5"/>
        <v>121.82500000000002</v>
      </c>
    </row>
    <row r="43" spans="2:8" x14ac:dyDescent="0.3">
      <c r="B43" s="40"/>
      <c r="C43" s="40"/>
      <c r="D43" s="40"/>
      <c r="F43" s="78">
        <v>1</v>
      </c>
      <c r="G43" s="16">
        <f t="shared" si="4"/>
        <v>9</v>
      </c>
      <c r="H43" s="79">
        <f t="shared" si="5"/>
        <v>134.87500000000003</v>
      </c>
    </row>
    <row r="44" spans="2:8" x14ac:dyDescent="0.3">
      <c r="B44" s="40"/>
      <c r="C44" s="40"/>
      <c r="D44" s="40"/>
      <c r="F44" s="78">
        <v>0.1</v>
      </c>
      <c r="G44" s="16">
        <f>F44*$C$39</f>
        <v>0</v>
      </c>
      <c r="H44" s="79">
        <f>H43+(G44*$C$36)</f>
        <v>134.87500000000003</v>
      </c>
    </row>
    <row r="45" spans="2:8" x14ac:dyDescent="0.3">
      <c r="B45" s="41" t="s">
        <v>106</v>
      </c>
      <c r="C45" s="41"/>
      <c r="D45" s="41"/>
      <c r="F45" s="78">
        <v>0.2</v>
      </c>
      <c r="G45" s="16">
        <f t="shared" ref="G45:G53" si="6">F45*$C$39</f>
        <v>0</v>
      </c>
      <c r="H45" s="79">
        <f t="shared" ref="H45:H53" si="7">H44+(G45*$C$36)</f>
        <v>134.87500000000003</v>
      </c>
    </row>
    <row r="46" spans="2:8" x14ac:dyDescent="0.3">
      <c r="B46" s="7" t="s">
        <v>116</v>
      </c>
      <c r="C46" s="7">
        <v>0</v>
      </c>
      <c r="D46" s="7" t="s">
        <v>113</v>
      </c>
      <c r="F46" s="78">
        <v>0.3</v>
      </c>
      <c r="G46" s="16">
        <f t="shared" si="6"/>
        <v>0</v>
      </c>
      <c r="H46" s="79">
        <f t="shared" si="7"/>
        <v>134.87500000000003</v>
      </c>
    </row>
    <row r="47" spans="2:8" x14ac:dyDescent="0.3">
      <c r="B47" s="7" t="s">
        <v>114</v>
      </c>
      <c r="C47" s="7">
        <v>0</v>
      </c>
      <c r="D47" s="7" t="s">
        <v>32</v>
      </c>
      <c r="F47" s="78">
        <v>0.4</v>
      </c>
      <c r="G47" s="16">
        <f t="shared" si="6"/>
        <v>0</v>
      </c>
      <c r="H47" s="79">
        <f t="shared" si="7"/>
        <v>134.87500000000003</v>
      </c>
    </row>
    <row r="48" spans="2:8" x14ac:dyDescent="0.3">
      <c r="B48" s="7" t="s">
        <v>115</v>
      </c>
      <c r="C48" s="7">
        <v>0</v>
      </c>
      <c r="D48" s="7" t="s">
        <v>117</v>
      </c>
      <c r="F48" s="78">
        <v>0.5</v>
      </c>
      <c r="G48" s="16">
        <f t="shared" si="6"/>
        <v>0</v>
      </c>
      <c r="H48" s="79">
        <f t="shared" si="7"/>
        <v>134.87500000000003</v>
      </c>
    </row>
    <row r="49" spans="2:8" x14ac:dyDescent="0.3">
      <c r="B49" s="7" t="s">
        <v>118</v>
      </c>
      <c r="C49" s="7">
        <v>0</v>
      </c>
      <c r="D49" s="7" t="s">
        <v>7</v>
      </c>
      <c r="F49" s="78">
        <v>0.6</v>
      </c>
      <c r="G49" s="16">
        <f t="shared" si="6"/>
        <v>0</v>
      </c>
      <c r="H49" s="79">
        <f t="shared" si="7"/>
        <v>134.87500000000003</v>
      </c>
    </row>
    <row r="50" spans="2:8" x14ac:dyDescent="0.3">
      <c r="B50" s="64" t="s">
        <v>119</v>
      </c>
      <c r="C50" s="7">
        <v>0</v>
      </c>
      <c r="D50" s="7" t="s">
        <v>7</v>
      </c>
      <c r="F50" s="78">
        <v>0.7</v>
      </c>
      <c r="G50" s="16">
        <f t="shared" si="6"/>
        <v>0</v>
      </c>
      <c r="H50" s="79">
        <f t="shared" si="7"/>
        <v>134.87500000000003</v>
      </c>
    </row>
    <row r="51" spans="2:8" x14ac:dyDescent="0.3">
      <c r="B51" s="65"/>
      <c r="C51" s="66"/>
      <c r="D51" s="67"/>
      <c r="F51" s="78">
        <v>0.8</v>
      </c>
      <c r="G51" s="16">
        <f t="shared" si="6"/>
        <v>0</v>
      </c>
      <c r="H51" s="79">
        <f t="shared" si="7"/>
        <v>134.87500000000003</v>
      </c>
    </row>
    <row r="52" spans="2:8" x14ac:dyDescent="0.3">
      <c r="B52" s="68"/>
      <c r="C52" s="69"/>
      <c r="D52" s="70"/>
      <c r="F52" s="78">
        <v>0.9</v>
      </c>
      <c r="G52" s="16">
        <f t="shared" si="6"/>
        <v>0</v>
      </c>
      <c r="H52" s="79">
        <f t="shared" si="7"/>
        <v>134.87500000000003</v>
      </c>
    </row>
    <row r="53" spans="2:8" x14ac:dyDescent="0.3">
      <c r="B53" s="40"/>
      <c r="C53" s="40"/>
      <c r="D53" s="40"/>
      <c r="F53" s="78">
        <v>1</v>
      </c>
      <c r="G53" s="16">
        <f t="shared" si="6"/>
        <v>0</v>
      </c>
      <c r="H53" s="79">
        <f t="shared" si="7"/>
        <v>134.87500000000003</v>
      </c>
    </row>
    <row r="54" spans="2:8" x14ac:dyDescent="0.3">
      <c r="B54" s="40"/>
      <c r="C54" s="40"/>
      <c r="D54" s="40"/>
      <c r="F54" s="78">
        <v>0.1</v>
      </c>
      <c r="G54" s="16">
        <f>F54*$C$49</f>
        <v>0</v>
      </c>
      <c r="H54" s="79">
        <f>H53+(G54*$C$46)</f>
        <v>134.87500000000003</v>
      </c>
    </row>
    <row r="55" spans="2:8" x14ac:dyDescent="0.3">
      <c r="B55" s="41" t="s">
        <v>107</v>
      </c>
      <c r="C55" s="41"/>
      <c r="D55" s="41"/>
      <c r="F55" s="78">
        <v>0.2</v>
      </c>
      <c r="G55" s="16">
        <f t="shared" ref="G55:G63" si="8">F55*$C$49</f>
        <v>0</v>
      </c>
      <c r="H55" s="79">
        <f t="shared" ref="H55:H63" si="9">H54+(G55*$C$46)</f>
        <v>134.87500000000003</v>
      </c>
    </row>
    <row r="56" spans="2:8" x14ac:dyDescent="0.3">
      <c r="B56" s="7" t="s">
        <v>116</v>
      </c>
      <c r="C56" s="7">
        <v>0</v>
      </c>
      <c r="D56" s="7" t="s">
        <v>113</v>
      </c>
      <c r="F56" s="78">
        <v>0.3</v>
      </c>
      <c r="G56" s="16">
        <f t="shared" si="8"/>
        <v>0</v>
      </c>
      <c r="H56" s="79">
        <f t="shared" si="9"/>
        <v>134.87500000000003</v>
      </c>
    </row>
    <row r="57" spans="2:8" x14ac:dyDescent="0.3">
      <c r="B57" s="7" t="s">
        <v>114</v>
      </c>
      <c r="C57" s="7">
        <v>0</v>
      </c>
      <c r="D57" s="7" t="s">
        <v>32</v>
      </c>
      <c r="F57" s="78">
        <v>0.4</v>
      </c>
      <c r="G57" s="16">
        <f t="shared" si="8"/>
        <v>0</v>
      </c>
      <c r="H57" s="79">
        <f t="shared" si="9"/>
        <v>134.87500000000003</v>
      </c>
    </row>
    <row r="58" spans="2:8" x14ac:dyDescent="0.3">
      <c r="B58" s="7" t="s">
        <v>115</v>
      </c>
      <c r="C58" s="7">
        <v>0</v>
      </c>
      <c r="D58" s="7" t="s">
        <v>117</v>
      </c>
      <c r="F58" s="78">
        <v>0.5</v>
      </c>
      <c r="G58" s="16">
        <f t="shared" si="8"/>
        <v>0</v>
      </c>
      <c r="H58" s="79">
        <f t="shared" si="9"/>
        <v>134.87500000000003</v>
      </c>
    </row>
    <row r="59" spans="2:8" x14ac:dyDescent="0.3">
      <c r="B59" s="7" t="s">
        <v>118</v>
      </c>
      <c r="C59" s="7">
        <v>0</v>
      </c>
      <c r="D59" s="7" t="s">
        <v>7</v>
      </c>
      <c r="F59" s="78">
        <v>0.6</v>
      </c>
      <c r="G59" s="16">
        <f t="shared" si="8"/>
        <v>0</v>
      </c>
      <c r="H59" s="79">
        <f t="shared" si="9"/>
        <v>134.87500000000003</v>
      </c>
    </row>
    <row r="60" spans="2:8" x14ac:dyDescent="0.3">
      <c r="B60" s="64" t="s">
        <v>119</v>
      </c>
      <c r="C60" s="7">
        <v>0</v>
      </c>
      <c r="D60" s="7" t="s">
        <v>7</v>
      </c>
      <c r="F60" s="78">
        <v>0.7</v>
      </c>
      <c r="G60" s="16">
        <f t="shared" si="8"/>
        <v>0</v>
      </c>
      <c r="H60" s="79">
        <f t="shared" si="9"/>
        <v>134.87500000000003</v>
      </c>
    </row>
    <row r="61" spans="2:8" x14ac:dyDescent="0.3">
      <c r="F61" s="78">
        <v>0.8</v>
      </c>
      <c r="G61" s="16">
        <f t="shared" si="8"/>
        <v>0</v>
      </c>
      <c r="H61" s="79">
        <f t="shared" si="9"/>
        <v>134.87500000000003</v>
      </c>
    </row>
    <row r="62" spans="2:8" x14ac:dyDescent="0.3">
      <c r="F62" s="78">
        <v>0.9</v>
      </c>
      <c r="G62" s="16">
        <f t="shared" si="8"/>
        <v>0</v>
      </c>
      <c r="H62" s="79">
        <f t="shared" si="9"/>
        <v>134.87500000000003</v>
      </c>
    </row>
    <row r="63" spans="2:8" x14ac:dyDescent="0.3">
      <c r="F63" s="78">
        <v>1</v>
      </c>
      <c r="G63" s="16">
        <f t="shared" si="8"/>
        <v>0</v>
      </c>
      <c r="H63" s="79">
        <f t="shared" si="9"/>
        <v>134.87500000000003</v>
      </c>
    </row>
    <row r="64" spans="2:8" x14ac:dyDescent="0.3">
      <c r="F64" s="78">
        <v>0.1</v>
      </c>
      <c r="G64" s="16">
        <f>F64*$C$59</f>
        <v>0</v>
      </c>
      <c r="H64" s="79">
        <f>H63+(G64*$C$56)</f>
        <v>134.87500000000003</v>
      </c>
    </row>
    <row r="65" spans="6:8" x14ac:dyDescent="0.3">
      <c r="F65" s="78">
        <v>0.2</v>
      </c>
      <c r="G65" s="16">
        <f t="shared" ref="G65:G73" si="10">F65*$C$59</f>
        <v>0</v>
      </c>
      <c r="H65" s="79">
        <f t="shared" ref="H65:H73" si="11">H64+(G65*$C$56)</f>
        <v>134.87500000000003</v>
      </c>
    </row>
    <row r="66" spans="6:8" x14ac:dyDescent="0.3">
      <c r="F66" s="78">
        <v>0.3</v>
      </c>
      <c r="G66" s="16">
        <f t="shared" si="10"/>
        <v>0</v>
      </c>
      <c r="H66" s="79">
        <f t="shared" si="11"/>
        <v>134.87500000000003</v>
      </c>
    </row>
    <row r="67" spans="6:8" x14ac:dyDescent="0.3">
      <c r="F67" s="78">
        <v>0.4</v>
      </c>
      <c r="G67" s="16">
        <f t="shared" si="10"/>
        <v>0</v>
      </c>
      <c r="H67" s="79">
        <f t="shared" si="11"/>
        <v>134.87500000000003</v>
      </c>
    </row>
    <row r="68" spans="6:8" x14ac:dyDescent="0.3">
      <c r="F68" s="78">
        <v>0.5</v>
      </c>
      <c r="G68" s="16">
        <f t="shared" si="10"/>
        <v>0</v>
      </c>
      <c r="H68" s="79">
        <f t="shared" si="11"/>
        <v>134.87500000000003</v>
      </c>
    </row>
    <row r="69" spans="6:8" x14ac:dyDescent="0.3">
      <c r="F69" s="78">
        <v>0.6</v>
      </c>
      <c r="G69" s="16">
        <f t="shared" si="10"/>
        <v>0</v>
      </c>
      <c r="H69" s="79">
        <f t="shared" si="11"/>
        <v>134.87500000000003</v>
      </c>
    </row>
    <row r="70" spans="6:8" x14ac:dyDescent="0.3">
      <c r="F70" s="78">
        <v>0.7</v>
      </c>
      <c r="G70" s="16">
        <f t="shared" si="10"/>
        <v>0</v>
      </c>
      <c r="H70" s="79">
        <f t="shared" si="11"/>
        <v>134.87500000000003</v>
      </c>
    </row>
    <row r="71" spans="6:8" x14ac:dyDescent="0.3">
      <c r="F71" s="78">
        <v>0.8</v>
      </c>
      <c r="G71" s="16">
        <f t="shared" si="10"/>
        <v>0</v>
      </c>
      <c r="H71" s="79">
        <f t="shared" si="11"/>
        <v>134.87500000000003</v>
      </c>
    </row>
    <row r="72" spans="6:8" x14ac:dyDescent="0.3">
      <c r="F72" s="78">
        <v>0.9</v>
      </c>
      <c r="G72" s="16">
        <f t="shared" si="10"/>
        <v>0</v>
      </c>
      <c r="H72" s="79">
        <f t="shared" si="11"/>
        <v>134.87500000000003</v>
      </c>
    </row>
    <row r="73" spans="6:8" ht="15" thickBot="1" x14ac:dyDescent="0.35">
      <c r="F73" s="80">
        <v>1</v>
      </c>
      <c r="G73" s="81">
        <f t="shared" si="10"/>
        <v>0</v>
      </c>
      <c r="H73" s="82">
        <f t="shared" si="11"/>
        <v>134.87500000000003</v>
      </c>
    </row>
  </sheetData>
  <mergeCells count="23">
    <mergeCell ref="B11:D12"/>
    <mergeCell ref="B21:D22"/>
    <mergeCell ref="B31:D32"/>
    <mergeCell ref="B41:D42"/>
    <mergeCell ref="B51:D52"/>
    <mergeCell ref="B45:D45"/>
    <mergeCell ref="B43:D44"/>
    <mergeCell ref="B53:D54"/>
    <mergeCell ref="B55:D55"/>
    <mergeCell ref="B23:D24"/>
    <mergeCell ref="B25:D25"/>
    <mergeCell ref="B33:D34"/>
    <mergeCell ref="B35:D35"/>
    <mergeCell ref="B13:D14"/>
    <mergeCell ref="B15:D15"/>
    <mergeCell ref="F10:H11"/>
    <mergeCell ref="F7:I7"/>
    <mergeCell ref="F8:G8"/>
    <mergeCell ref="B2:D3"/>
    <mergeCell ref="F2:I3"/>
    <mergeCell ref="B4:D4"/>
    <mergeCell ref="F4:G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Asentamientos sección rectang.</vt:lpstr>
      <vt:lpstr>PILAS CIRC. EN 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Sayegh Assa</dc:creator>
  <cp:lastModifiedBy>Benjamin Sayegh Assa</cp:lastModifiedBy>
  <dcterms:created xsi:type="dcterms:W3CDTF">2020-11-04T21:45:19Z</dcterms:created>
  <dcterms:modified xsi:type="dcterms:W3CDTF">2021-12-14T03:52:39Z</dcterms:modified>
</cp:coreProperties>
</file>